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DATA" sheetId="1" r:id="rId1"/>
    <sheet name="GIRONE" sheetId="2" r:id="rId2"/>
    <sheet name="calcolo" sheetId="3" state="hidden" r:id="rId3"/>
    <sheet name="testo" sheetId="4" state="hidden" r:id="rId4"/>
  </sheets>
  <definedNames>
    <definedName name="_xlnm.Print_Area" localSheetId="0">'DATA'!$A$1:$O$37</definedName>
    <definedName name="_xlnm.Print_Area" localSheetId="1">'GIRONE'!$A$1:$Q$37</definedName>
  </definedNames>
  <calcPr fullCalcOnLoad="1"/>
</workbook>
</file>

<file path=xl/sharedStrings.xml><?xml version="1.0" encoding="utf-8"?>
<sst xmlns="http://schemas.openxmlformats.org/spreadsheetml/2006/main" count="250" uniqueCount="122">
  <si>
    <t>Partite</t>
  </si>
  <si>
    <t>goal</t>
  </si>
  <si>
    <t>diff.</t>
  </si>
  <si>
    <t>girone</t>
  </si>
  <si>
    <t>data</t>
  </si>
  <si>
    <t>ora</t>
  </si>
  <si>
    <t>n. partita</t>
  </si>
  <si>
    <t>giocate</t>
  </si>
  <si>
    <t>Punti</t>
  </si>
  <si>
    <t>fatti</t>
  </si>
  <si>
    <t>subiti</t>
  </si>
  <si>
    <t>reti</t>
  </si>
  <si>
    <t>C</t>
  </si>
  <si>
    <t>:</t>
  </si>
  <si>
    <t>B</t>
  </si>
  <si>
    <t>D</t>
  </si>
  <si>
    <t>A</t>
  </si>
  <si>
    <t>QF</t>
  </si>
  <si>
    <t>SF</t>
  </si>
  <si>
    <t>Diff</t>
  </si>
  <si>
    <t>Risultati</t>
  </si>
  <si>
    <t>Goal</t>
  </si>
  <si>
    <t>Tabella dei gruppi nell'ordine originale</t>
  </si>
  <si>
    <t>Classifica finale</t>
  </si>
  <si>
    <t>Pareggio: caso 2 o 4</t>
  </si>
  <si>
    <t>Pareggio: caso 3</t>
  </si>
  <si>
    <t>Classifica per girone</t>
  </si>
  <si>
    <t>Differenza reti</t>
  </si>
  <si>
    <t>Goal fatti</t>
  </si>
  <si>
    <t>Parità</t>
  </si>
  <si>
    <t>Punteggio combinato: 10000*Pt+100*DR+GF</t>
  </si>
  <si>
    <t>Squadre con lo stesso punteggio</t>
  </si>
  <si>
    <t>Avversario diretto con stesso punteggio</t>
  </si>
  <si>
    <t>Punti negli scontri diretti</t>
  </si>
  <si>
    <t>Squadra non in parità</t>
  </si>
  <si>
    <t>Contro le squadre in parità</t>
  </si>
  <si>
    <t>Punteggio totale</t>
  </si>
  <si>
    <t>Ordine squadre</t>
  </si>
  <si>
    <t>Classifica</t>
  </si>
  <si>
    <t>Classifica pulita o sorteggio?</t>
  </si>
  <si>
    <t>P</t>
  </si>
  <si>
    <t>Partita finita?</t>
  </si>
  <si>
    <t>Pareggio</t>
  </si>
  <si>
    <t>Abbreviazione</t>
  </si>
  <si>
    <t>Testo completo</t>
  </si>
  <si>
    <t>GIRONE A</t>
  </si>
  <si>
    <t>GIRONE B</t>
  </si>
  <si>
    <t>JAM</t>
  </si>
  <si>
    <t>GIRONE C</t>
  </si>
  <si>
    <t>DL</t>
  </si>
  <si>
    <t>HAP</t>
  </si>
  <si>
    <t>HAPPY DAYS</t>
  </si>
  <si>
    <t>GIRONE D</t>
  </si>
  <si>
    <t>AUD</t>
  </si>
  <si>
    <t>AUDAX FORLIVESE</t>
  </si>
  <si>
    <t>TRI</t>
  </si>
  <si>
    <t>TRIAL</t>
  </si>
  <si>
    <t>E</t>
  </si>
  <si>
    <t>GIRONE E</t>
  </si>
  <si>
    <t>e1</t>
  </si>
  <si>
    <t>E1</t>
  </si>
  <si>
    <t>e2</t>
  </si>
  <si>
    <t>E2</t>
  </si>
  <si>
    <t>e3</t>
  </si>
  <si>
    <t>E3</t>
  </si>
  <si>
    <t>e4</t>
  </si>
  <si>
    <t>E4</t>
  </si>
  <si>
    <t>F</t>
  </si>
  <si>
    <t>GIRONE F</t>
  </si>
  <si>
    <t>f1</t>
  </si>
  <si>
    <t>F1</t>
  </si>
  <si>
    <t>f2</t>
  </si>
  <si>
    <t>F2</t>
  </si>
  <si>
    <t>f3</t>
  </si>
  <si>
    <t>F3</t>
  </si>
  <si>
    <t>f4</t>
  </si>
  <si>
    <t>F4</t>
  </si>
  <si>
    <t>M</t>
  </si>
  <si>
    <t>Pt</t>
  </si>
  <si>
    <t>GF</t>
  </si>
  <si>
    <t>GS</t>
  </si>
  <si>
    <t>Goal subiti</t>
  </si>
  <si>
    <t>DR</t>
  </si>
  <si>
    <t>Classifica pulita</t>
  </si>
  <si>
    <t>Due squadre in 3a posizione</t>
  </si>
  <si>
    <t>Sorteggio</t>
  </si>
  <si>
    <t>1° TURNO</t>
  </si>
  <si>
    <t>2° TURNO</t>
  </si>
  <si>
    <t>OTTAVI</t>
  </si>
  <si>
    <t>QUARTI</t>
  </si>
  <si>
    <t>SEMIFINALI</t>
  </si>
  <si>
    <t>TERZO POSTO</t>
  </si>
  <si>
    <t>FINALE</t>
  </si>
  <si>
    <t>Vincitore</t>
  </si>
  <si>
    <t>Secondo posto</t>
  </si>
  <si>
    <t>Girone</t>
  </si>
  <si>
    <t>Partita</t>
  </si>
  <si>
    <t>Data</t>
  </si>
  <si>
    <t>BAG</t>
  </si>
  <si>
    <t>AGENZIA BIONDINI</t>
  </si>
  <si>
    <t>BIO</t>
  </si>
  <si>
    <t>JAMO OUTLET</t>
  </si>
  <si>
    <t>REA</t>
  </si>
  <si>
    <t>REAL PROMALCOOLICA</t>
  </si>
  <si>
    <t>D.L. COSTRUZIONI 2000</t>
  </si>
  <si>
    <t>LEO</t>
  </si>
  <si>
    <t>LEONI DI SAN MARCO</t>
  </si>
  <si>
    <t>FD</t>
  </si>
  <si>
    <t>EFFEDI SALOTTI</t>
  </si>
  <si>
    <t>VIL</t>
  </si>
  <si>
    <t>VILLA PARK</t>
  </si>
  <si>
    <t>ROS</t>
  </si>
  <si>
    <t>ROSSI SRL</t>
  </si>
  <si>
    <t>DES</t>
  </si>
  <si>
    <t>DE STEFANI</t>
  </si>
  <si>
    <t>CAR</t>
  </si>
  <si>
    <t>CARROZZERIA FORLIVESE</t>
  </si>
  <si>
    <t>CTR</t>
  </si>
  <si>
    <t>CAF</t>
  </si>
  <si>
    <t>CAFFE FARINI</t>
  </si>
  <si>
    <t>BAGNOLO BARDI COSTR.</t>
  </si>
  <si>
    <t>17° Torneo calcio 5  -  Barisano  -  2008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</si>
</sst>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:mm;@"/>
    <numFmt numFmtId="169" formatCode="0.00000"/>
    <numFmt numFmtId="170" formatCode="mmm\-yyyy"/>
  </numFmts>
  <fonts count="7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0"/>
    </font>
    <font>
      <sz val="8"/>
      <color indexed="20"/>
      <name val="Arial"/>
      <family val="0"/>
    </font>
    <font>
      <sz val="10"/>
      <color indexed="2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color indexed="20"/>
      <name val="Arial"/>
      <family val="0"/>
    </font>
    <font>
      <b/>
      <sz val="26"/>
      <color indexed="22"/>
      <name val="Arial"/>
      <family val="2"/>
    </font>
    <font>
      <b/>
      <sz val="10"/>
      <name val="Arial"/>
      <family val="2"/>
    </font>
    <font>
      <b/>
      <sz val="26"/>
      <color indexed="9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48"/>
      <color indexed="22"/>
      <name val="Arial"/>
      <family val="2"/>
    </font>
    <font>
      <sz val="9"/>
      <color indexed="59"/>
      <name val="Arial"/>
      <family val="0"/>
    </font>
    <font>
      <sz val="10"/>
      <color indexed="59"/>
      <name val="Arial"/>
      <family val="0"/>
    </font>
    <font>
      <b/>
      <sz val="28"/>
      <color indexed="22"/>
      <name val="Arial"/>
      <family val="2"/>
    </font>
    <font>
      <b/>
      <sz val="48"/>
      <color indexed="9"/>
      <name val="Arial"/>
      <family val="2"/>
    </font>
    <font>
      <sz val="9"/>
      <color indexed="58"/>
      <name val="Arial"/>
      <family val="0"/>
    </font>
    <font>
      <sz val="10"/>
      <color indexed="58"/>
      <name val="Arial"/>
      <family val="0"/>
    </font>
    <font>
      <b/>
      <sz val="28"/>
      <color indexed="9"/>
      <name val="Arial"/>
      <family val="2"/>
    </font>
    <font>
      <sz val="8"/>
      <color indexed="58"/>
      <name val="Tahoma"/>
      <family val="2"/>
    </font>
    <font>
      <sz val="9"/>
      <color indexed="8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"/>
      <color indexed="56"/>
      <name val="Arial"/>
      <family val="0"/>
    </font>
    <font>
      <sz val="10"/>
      <color indexed="56"/>
      <name val="Arial"/>
      <family val="0"/>
    </font>
    <font>
      <b/>
      <sz val="24"/>
      <color indexed="9"/>
      <name val="Arial"/>
      <family val="2"/>
    </font>
    <font>
      <b/>
      <sz val="8"/>
      <name val="Tahoma"/>
      <family val="2"/>
    </font>
    <font>
      <sz val="10"/>
      <color indexed="1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3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right" vertical="center"/>
      <protection/>
    </xf>
    <xf numFmtId="0" fontId="0" fillId="36" borderId="10" xfId="0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9" fillId="37" borderId="1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6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16" fontId="0" fillId="0" borderId="10" xfId="0" applyNumberFormat="1" applyBorder="1" applyAlignment="1" applyProtection="1">
      <alignment horizontal="center"/>
      <protection/>
    </xf>
    <xf numFmtId="168" fontId="0" fillId="0" borderId="10" xfId="0" applyNumberForma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/>
      <protection/>
    </xf>
    <xf numFmtId="0" fontId="22" fillId="33" borderId="10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168" fontId="0" fillId="0" borderId="14" xfId="0" applyNumberFormat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29" fillId="34" borderId="1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16" fontId="0" fillId="0" borderId="14" xfId="0" applyNumberForma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left"/>
      <protection/>
    </xf>
    <xf numFmtId="0" fontId="30" fillId="35" borderId="14" xfId="0" applyFont="1" applyFill="1" applyBorder="1" applyAlignment="1" applyProtection="1">
      <alignment vertical="center"/>
      <protection/>
    </xf>
    <xf numFmtId="0" fontId="31" fillId="35" borderId="14" xfId="0" applyFont="1" applyFill="1" applyBorder="1" applyAlignment="1" applyProtection="1">
      <alignment vertical="center"/>
      <protection/>
    </xf>
    <xf numFmtId="0" fontId="32" fillId="35" borderId="14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vertical="center"/>
      <protection/>
    </xf>
    <xf numFmtId="0" fontId="33" fillId="35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 locked="0"/>
    </xf>
    <xf numFmtId="0" fontId="30" fillId="35" borderId="10" xfId="0" applyFont="1" applyFill="1" applyBorder="1" applyAlignment="1" applyProtection="1">
      <alignment vertical="center"/>
      <protection/>
    </xf>
    <xf numFmtId="0" fontId="33" fillId="35" borderId="10" xfId="0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0" fontId="34" fillId="36" borderId="14" xfId="0" applyFont="1" applyFill="1" applyBorder="1" applyAlignment="1" applyProtection="1">
      <alignment vertical="center"/>
      <protection/>
    </xf>
    <xf numFmtId="0" fontId="35" fillId="36" borderId="14" xfId="0" applyFont="1" applyFill="1" applyBorder="1" applyAlignment="1" applyProtection="1">
      <alignment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14" fillId="36" borderId="14" xfId="0" applyFont="1" applyFill="1" applyBorder="1" applyAlignment="1" applyProtection="1">
      <alignment horizontal="center" vertical="center"/>
      <protection/>
    </xf>
    <xf numFmtId="0" fontId="34" fillId="36" borderId="0" xfId="0" applyFont="1" applyFill="1" applyBorder="1" applyAlignment="1" applyProtection="1">
      <alignment vertical="center"/>
      <protection/>
    </xf>
    <xf numFmtId="0" fontId="35" fillId="36" borderId="0" xfId="0" applyFont="1" applyFill="1" applyBorder="1" applyAlignment="1" applyProtection="1">
      <alignment vertical="center"/>
      <protection/>
    </xf>
    <xf numFmtId="0" fontId="34" fillId="36" borderId="10" xfId="0" applyFont="1" applyFill="1" applyBorder="1" applyAlignment="1" applyProtection="1">
      <alignment vertical="center"/>
      <protection/>
    </xf>
    <xf numFmtId="0" fontId="35" fillId="36" borderId="1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6" fontId="0" fillId="0" borderId="11" xfId="0" applyNumberFormat="1" applyBorder="1" applyAlignment="1" applyProtection="1">
      <alignment horizontal="center"/>
      <protection/>
    </xf>
    <xf numFmtId="168" fontId="0" fillId="0" borderId="11" xfId="0" applyNumberForma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38" borderId="11" xfId="0" applyFont="1" applyFill="1" applyBorder="1" applyAlignment="1">
      <alignment horizontal="center"/>
    </xf>
    <xf numFmtId="0" fontId="10" fillId="38" borderId="11" xfId="0" applyFont="1" applyFill="1" applyBorder="1" applyAlignment="1" applyProtection="1">
      <alignment horizontal="center"/>
      <protection/>
    </xf>
    <xf numFmtId="0" fontId="9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 applyProtection="1">
      <alignment horizontal="center"/>
      <protection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 vertical="center"/>
    </xf>
    <xf numFmtId="0" fontId="32" fillId="0" borderId="17" xfId="0" applyFont="1" applyBorder="1" applyAlignment="1">
      <alignment horizontal="right"/>
    </xf>
    <xf numFmtId="0" fontId="32" fillId="0" borderId="11" xfId="0" applyFont="1" applyBorder="1" applyAlignment="1">
      <alignment horizontal="center"/>
    </xf>
    <xf numFmtId="0" fontId="32" fillId="0" borderId="18" xfId="0" applyFont="1" applyBorder="1" applyAlignment="1">
      <alignment horizontal="left"/>
    </xf>
    <xf numFmtId="0" fontId="32" fillId="0" borderId="16" xfId="0" applyFont="1" applyBorder="1" applyAlignment="1">
      <alignment horizontal="center" textRotation="90"/>
    </xf>
    <xf numFmtId="0" fontId="32" fillId="0" borderId="0" xfId="0" applyFont="1" applyAlignment="1">
      <alignment horizontal="center" textRotation="90"/>
    </xf>
    <xf numFmtId="0" fontId="37" fillId="0" borderId="19" xfId="0" applyFont="1" applyBorder="1" applyAlignment="1">
      <alignment horizontal="right"/>
    </xf>
    <xf numFmtId="0" fontId="32" fillId="0" borderId="12" xfId="0" applyFont="1" applyBorder="1" applyAlignment="1">
      <alignment horizontal="center" textRotation="90"/>
    </xf>
    <xf numFmtId="0" fontId="32" fillId="0" borderId="20" xfId="0" applyFont="1" applyBorder="1" applyAlignment="1">
      <alignment horizontal="center" textRotation="90"/>
    </xf>
    <xf numFmtId="0" fontId="32" fillId="0" borderId="21" xfId="0" applyFont="1" applyBorder="1" applyAlignment="1">
      <alignment horizontal="center" textRotation="90"/>
    </xf>
    <xf numFmtId="0" fontId="32" fillId="0" borderId="2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9" xfId="0" applyFont="1" applyBorder="1" applyAlignment="1">
      <alignment vertical="center"/>
    </xf>
    <xf numFmtId="0" fontId="32" fillId="0" borderId="22" xfId="0" applyFont="1" applyBorder="1" applyAlignment="1">
      <alignment horizontal="left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7" fillId="0" borderId="25" xfId="0" applyFont="1" applyBorder="1" applyAlignment="1">
      <alignment horizontal="center"/>
    </xf>
    <xf numFmtId="0" fontId="32" fillId="0" borderId="25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5" xfId="0" applyFont="1" applyBorder="1" applyAlignment="1">
      <alignment/>
    </xf>
    <xf numFmtId="169" fontId="32" fillId="0" borderId="18" xfId="0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169" fontId="32" fillId="0" borderId="25" xfId="0" applyNumberFormat="1" applyFont="1" applyBorder="1" applyAlignment="1">
      <alignment vertical="center"/>
    </xf>
    <xf numFmtId="169" fontId="32" fillId="0" borderId="25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2" fillId="0" borderId="25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/>
    </xf>
    <xf numFmtId="169" fontId="32" fillId="0" borderId="24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9" fontId="32" fillId="0" borderId="22" xfId="0" applyNumberFormat="1" applyFont="1" applyBorder="1" applyAlignment="1">
      <alignment vertical="center"/>
    </xf>
    <xf numFmtId="169" fontId="32" fillId="0" borderId="22" xfId="0" applyNumberFormat="1" applyFont="1" applyBorder="1" applyAlignment="1">
      <alignment vertical="center"/>
    </xf>
    <xf numFmtId="0" fontId="37" fillId="0" borderId="24" xfId="0" applyFont="1" applyBorder="1" applyAlignment="1">
      <alignment horizontal="center"/>
    </xf>
    <xf numFmtId="0" fontId="32" fillId="0" borderId="16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7" fillId="0" borderId="29" xfId="0" applyFont="1" applyBorder="1" applyAlignment="1">
      <alignment horizontal="center"/>
    </xf>
    <xf numFmtId="0" fontId="32" fillId="0" borderId="29" xfId="0" applyFont="1" applyBorder="1" applyAlignment="1">
      <alignment vertical="center"/>
    </xf>
    <xf numFmtId="0" fontId="32" fillId="0" borderId="29" xfId="0" applyFont="1" applyBorder="1" applyAlignment="1">
      <alignment/>
    </xf>
    <xf numFmtId="169" fontId="32" fillId="0" borderId="28" xfId="0" applyNumberFormat="1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169" fontId="32" fillId="0" borderId="29" xfId="0" applyNumberFormat="1" applyFont="1" applyBorder="1" applyAlignment="1">
      <alignment vertical="center"/>
    </xf>
    <xf numFmtId="169" fontId="32" fillId="0" borderId="29" xfId="0" applyNumberFormat="1" applyFont="1" applyBorder="1" applyAlignment="1">
      <alignment vertical="center"/>
    </xf>
    <xf numFmtId="0" fontId="37" fillId="0" borderId="28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32" fillId="0" borderId="30" xfId="0" applyFont="1" applyBorder="1" applyAlignment="1">
      <alignment horizontal="right"/>
    </xf>
    <xf numFmtId="0" fontId="32" fillId="0" borderId="3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39" borderId="0" xfId="0" applyFont="1" applyFill="1" applyAlignment="1">
      <alignment/>
    </xf>
    <xf numFmtId="0" fontId="32" fillId="39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0" fillId="0" borderId="0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8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5" borderId="13" xfId="0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8" borderId="0" xfId="0" applyFont="1" applyFill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right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right"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14" fillId="36" borderId="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/>
      <protection hidden="1" locked="0"/>
    </xf>
    <xf numFmtId="0" fontId="0" fillId="36" borderId="0" xfId="0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left"/>
      <protection hidden="1"/>
    </xf>
    <xf numFmtId="0" fontId="0" fillId="36" borderId="10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36" borderId="13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 locked="0"/>
    </xf>
    <xf numFmtId="0" fontId="11" fillId="0" borderId="13" xfId="0" applyFont="1" applyBorder="1" applyAlignment="1" applyProtection="1">
      <alignment horizontal="right"/>
      <protection hidden="1" locked="0"/>
    </xf>
    <xf numFmtId="0" fontId="11" fillId="0" borderId="11" xfId="0" applyFont="1" applyBorder="1" applyAlignment="1" applyProtection="1">
      <alignment horizontal="right"/>
      <protection hidden="1" locked="0"/>
    </xf>
    <xf numFmtId="0" fontId="11" fillId="0" borderId="10" xfId="0" applyFont="1" applyBorder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11" fillId="0" borderId="10" xfId="0" applyFont="1" applyBorder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 horizontal="left"/>
      <protection hidden="1" locked="0"/>
    </xf>
    <xf numFmtId="0" fontId="11" fillId="0" borderId="13" xfId="0" applyFont="1" applyBorder="1" applyAlignment="1" applyProtection="1">
      <alignment horizontal="left"/>
      <protection hidden="1" locked="0"/>
    </xf>
    <xf numFmtId="0" fontId="11" fillId="0" borderId="10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>
      <alignment horizontal="left"/>
      <protection hidden="1" locked="0"/>
    </xf>
    <xf numFmtId="0" fontId="11" fillId="0" borderId="10" xfId="0" applyFont="1" applyBorder="1" applyAlignment="1" applyProtection="1">
      <alignment horizontal="left"/>
      <protection hidden="1" locked="0"/>
    </xf>
    <xf numFmtId="0" fontId="11" fillId="0" borderId="11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38" borderId="11" xfId="0" applyFont="1" applyFill="1" applyBorder="1" applyAlignment="1" applyProtection="1">
      <alignment horizontal="center"/>
      <protection/>
    </xf>
    <xf numFmtId="0" fontId="11" fillId="38" borderId="1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" fontId="38" fillId="0" borderId="0" xfId="0" applyNumberFormat="1" applyFont="1" applyBorder="1" applyAlignment="1" applyProtection="1">
      <alignment horizontal="center"/>
      <protection hidden="1"/>
    </xf>
    <xf numFmtId="168" fontId="38" fillId="0" borderId="0" xfId="0" applyNumberFormat="1" applyFont="1" applyBorder="1" applyAlignment="1" applyProtection="1">
      <alignment horizontal="center"/>
      <protection hidden="1"/>
    </xf>
    <xf numFmtId="16" fontId="38" fillId="0" borderId="13" xfId="0" applyNumberFormat="1" applyFont="1" applyBorder="1" applyAlignment="1" applyProtection="1">
      <alignment horizontal="center"/>
      <protection hidden="1"/>
    </xf>
    <xf numFmtId="168" fontId="38" fillId="0" borderId="13" xfId="0" applyNumberFormat="1" applyFont="1" applyBorder="1" applyAlignment="1" applyProtection="1">
      <alignment horizontal="center"/>
      <protection hidden="1"/>
    </xf>
    <xf numFmtId="16" fontId="38" fillId="0" borderId="11" xfId="0" applyNumberFormat="1" applyFont="1" applyBorder="1" applyAlignment="1" applyProtection="1">
      <alignment horizontal="center"/>
      <protection hidden="1"/>
    </xf>
    <xf numFmtId="168" fontId="38" fillId="0" borderId="11" xfId="0" applyNumberFormat="1" applyFont="1" applyBorder="1" applyAlignment="1" applyProtection="1">
      <alignment horizontal="center"/>
      <protection hidden="1"/>
    </xf>
    <xf numFmtId="16" fontId="38" fillId="0" borderId="10" xfId="0" applyNumberFormat="1" applyFont="1" applyBorder="1" applyAlignment="1" applyProtection="1">
      <alignment horizontal="center"/>
      <protection hidden="1"/>
    </xf>
    <xf numFmtId="168" fontId="38" fillId="0" borderId="10" xfId="0" applyNumberFormat="1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168" fontId="38" fillId="0" borderId="0" xfId="0" applyNumberFormat="1" applyFont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4" borderId="10" xfId="0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 horizontal="right" vertical="center"/>
      <protection hidden="1"/>
    </xf>
    <xf numFmtId="16" fontId="0" fillId="0" borderId="14" xfId="0" applyNumberFormat="1" applyFon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0" fillId="36" borderId="13" xfId="0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3" fillId="33" borderId="14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15" fillId="34" borderId="0" xfId="0" applyFont="1" applyFill="1" applyBorder="1" applyAlignment="1" applyProtection="1">
      <alignment horizontal="left" vertical="center"/>
      <protection hidden="1"/>
    </xf>
    <xf numFmtId="0" fontId="15" fillId="35" borderId="0" xfId="0" applyFont="1" applyFill="1" applyBorder="1" applyAlignment="1" applyProtection="1">
      <alignment horizontal="left" vertical="center"/>
      <protection hidden="1"/>
    </xf>
    <xf numFmtId="0" fontId="0" fillId="40" borderId="11" xfId="0" applyFill="1" applyBorder="1" applyAlignment="1" applyProtection="1">
      <alignment horizontal="center"/>
      <protection hidden="1"/>
    </xf>
    <xf numFmtId="0" fontId="0" fillId="40" borderId="10" xfId="0" applyFill="1" applyBorder="1" applyAlignment="1" applyProtection="1">
      <alignment horizontal="center"/>
      <protection hidden="1"/>
    </xf>
    <xf numFmtId="0" fontId="15" fillId="36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6" fillId="37" borderId="11" xfId="0" applyFont="1" applyFill="1" applyBorder="1" applyAlignment="1" applyProtection="1">
      <alignment horizontal="center"/>
      <protection hidden="1"/>
    </xf>
    <xf numFmtId="0" fontId="16" fillId="37" borderId="0" xfId="0" applyFont="1" applyFill="1" applyBorder="1" applyAlignment="1" applyProtection="1">
      <alignment horizontal="center"/>
      <protection hidden="1"/>
    </xf>
    <xf numFmtId="0" fontId="16" fillId="37" borderId="10" xfId="0" applyFont="1" applyFill="1" applyBorder="1" applyAlignment="1" applyProtection="1">
      <alignment horizontal="center"/>
      <protection hidden="1"/>
    </xf>
    <xf numFmtId="0" fontId="16" fillId="41" borderId="11" xfId="0" applyFont="1" applyFill="1" applyBorder="1" applyAlignment="1" applyProtection="1">
      <alignment horizontal="center"/>
      <protection hidden="1"/>
    </xf>
    <xf numFmtId="0" fontId="16" fillId="41" borderId="10" xfId="0" applyFont="1" applyFill="1" applyBorder="1" applyAlignment="1" applyProtection="1">
      <alignment horizontal="center"/>
      <protection hidden="1"/>
    </xf>
    <xf numFmtId="0" fontId="18" fillId="40" borderId="11" xfId="0" applyFont="1" applyFill="1" applyBorder="1" applyAlignment="1" applyProtection="1">
      <alignment horizontal="center"/>
      <protection/>
    </xf>
    <xf numFmtId="0" fontId="18" fillId="40" borderId="10" xfId="0" applyFont="1" applyFill="1" applyBorder="1" applyAlignment="1" applyProtection="1">
      <alignment horizontal="center"/>
      <protection/>
    </xf>
    <xf numFmtId="0" fontId="25" fillId="35" borderId="14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horizontal="center"/>
      <protection/>
    </xf>
    <xf numFmtId="0" fontId="25" fillId="35" borderId="10" xfId="0" applyFont="1" applyFill="1" applyBorder="1" applyAlignment="1" applyProtection="1">
      <alignment horizontal="center"/>
      <protection/>
    </xf>
    <xf numFmtId="0" fontId="28" fillId="35" borderId="0" xfId="0" applyFont="1" applyFill="1" applyBorder="1" applyAlignment="1" applyProtection="1">
      <alignment horizontal="left" vertical="center"/>
      <protection/>
    </xf>
    <xf numFmtId="0" fontId="25" fillId="36" borderId="14" xfId="0" applyFont="1" applyFill="1" applyBorder="1" applyAlignment="1" applyProtection="1">
      <alignment horizontal="center"/>
      <protection/>
    </xf>
    <xf numFmtId="0" fontId="25" fillId="36" borderId="0" xfId="0" applyFont="1" applyFill="1" applyBorder="1" applyAlignment="1" applyProtection="1">
      <alignment horizontal="center"/>
      <protection/>
    </xf>
    <xf numFmtId="0" fontId="25" fillId="36" borderId="10" xfId="0" applyFont="1" applyFill="1" applyBorder="1" applyAlignment="1" applyProtection="1">
      <alignment horizontal="center"/>
      <protection/>
    </xf>
    <xf numFmtId="0" fontId="28" fillId="36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36" fillId="37" borderId="11" xfId="0" applyFont="1" applyFill="1" applyBorder="1" applyAlignment="1" applyProtection="1">
      <alignment horizontal="center"/>
      <protection/>
    </xf>
    <xf numFmtId="0" fontId="36" fillId="37" borderId="0" xfId="0" applyFont="1" applyFill="1" applyBorder="1" applyAlignment="1" applyProtection="1">
      <alignment horizontal="center"/>
      <protection/>
    </xf>
    <xf numFmtId="0" fontId="36" fillId="37" borderId="10" xfId="0" applyFont="1" applyFill="1" applyBorder="1" applyAlignment="1" applyProtection="1">
      <alignment horizontal="center"/>
      <protection/>
    </xf>
    <xf numFmtId="0" fontId="36" fillId="41" borderId="11" xfId="0" applyFont="1" applyFill="1" applyBorder="1" applyAlignment="1" applyProtection="1">
      <alignment horizontal="center"/>
      <protection/>
    </xf>
    <xf numFmtId="0" fontId="36" fillId="41" borderId="1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5" fillId="34" borderId="14" xfId="0" applyFont="1" applyFill="1" applyBorder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horizontal="center"/>
      <protection/>
    </xf>
    <xf numFmtId="0" fontId="25" fillId="34" borderId="10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 horizontal="left" vertical="center"/>
      <protection/>
    </xf>
    <xf numFmtId="0" fontId="3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i val="0"/>
        <color indexed="6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C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BECFF"/>
      <rgbColor rgb="00339966"/>
      <rgbColor rgb="0066FF66"/>
      <rgbColor rgb="00FFFF99"/>
      <rgbColor rgb="00FF505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6.7109375" style="194" customWidth="1"/>
    <col min="2" max="2" width="6.7109375" style="195" customWidth="1"/>
    <col min="3" max="3" width="6.7109375" style="196" customWidth="1"/>
    <col min="4" max="4" width="27.7109375" style="207" customWidth="1"/>
    <col min="5" max="5" width="3.7109375" style="254" customWidth="1"/>
    <col min="6" max="6" width="1.421875" style="253" customWidth="1"/>
    <col min="7" max="7" width="3.7109375" style="236" customWidth="1"/>
    <col min="8" max="8" width="27.7109375" style="237" customWidth="1"/>
    <col min="9" max="9" width="3.28125" style="299" customWidth="1"/>
    <col min="10" max="10" width="24.57421875" style="238" customWidth="1"/>
    <col min="11" max="11" width="4.28125" style="239" customWidth="1"/>
    <col min="12" max="12" width="4.7109375" style="240" customWidth="1"/>
    <col min="13" max="15" width="4.28125" style="239" customWidth="1"/>
    <col min="16" max="16384" width="9.140625" style="238" customWidth="1"/>
  </cols>
  <sheetData>
    <row r="1" spans="1:43" s="246" customFormat="1" ht="20.25">
      <c r="A1" s="184"/>
      <c r="B1" s="321" t="s">
        <v>121</v>
      </c>
      <c r="C1" s="322"/>
      <c r="D1" s="322"/>
      <c r="E1" s="322"/>
      <c r="F1" s="322"/>
      <c r="G1" s="322"/>
      <c r="H1" s="323"/>
      <c r="I1" s="293"/>
      <c r="J1" s="208"/>
      <c r="K1" s="209" t="s">
        <v>0</v>
      </c>
      <c r="L1" s="210"/>
      <c r="M1" s="313" t="s">
        <v>1</v>
      </c>
      <c r="N1" s="313"/>
      <c r="O1" s="211" t="s">
        <v>2</v>
      </c>
      <c r="P1" s="21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</row>
    <row r="2" spans="1:43" s="248" customFormat="1" ht="13.5" thickBot="1">
      <c r="A2" s="185" t="s">
        <v>3</v>
      </c>
      <c r="B2" s="185" t="s">
        <v>4</v>
      </c>
      <c r="C2" s="185" t="s">
        <v>5</v>
      </c>
      <c r="D2" s="186"/>
      <c r="E2" s="186"/>
      <c r="F2" s="186"/>
      <c r="G2" s="186"/>
      <c r="H2" s="186"/>
      <c r="I2" s="185" t="s">
        <v>6</v>
      </c>
      <c r="J2" s="186"/>
      <c r="K2" s="212" t="s">
        <v>7</v>
      </c>
      <c r="L2" s="213" t="s">
        <v>8</v>
      </c>
      <c r="M2" s="213" t="s">
        <v>9</v>
      </c>
      <c r="N2" s="213" t="s">
        <v>10</v>
      </c>
      <c r="O2" s="213" t="s">
        <v>11</v>
      </c>
      <c r="P2" s="247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</row>
    <row r="3" spans="1:43" s="246" customFormat="1" ht="15.75" customHeight="1">
      <c r="A3" s="287" t="s">
        <v>16</v>
      </c>
      <c r="B3" s="273">
        <v>39629</v>
      </c>
      <c r="C3" s="274">
        <v>0.875</v>
      </c>
      <c r="D3" s="188" t="str">
        <f>testo!B5</f>
        <v>AUDAX FORLIVESE</v>
      </c>
      <c r="E3" s="255">
        <v>4</v>
      </c>
      <c r="F3" s="249" t="s">
        <v>13</v>
      </c>
      <c r="G3" s="261">
        <v>6</v>
      </c>
      <c r="H3" s="214" t="str">
        <f>testo!B6</f>
        <v>JAMO OUTLET</v>
      </c>
      <c r="I3" s="294">
        <v>1</v>
      </c>
      <c r="J3" s="314" t="str">
        <f>" "&amp;GIRONE!L3</f>
        <v> A</v>
      </c>
      <c r="K3" s="215"/>
      <c r="L3" s="216"/>
      <c r="M3" s="215"/>
      <c r="N3" s="215"/>
      <c r="O3" s="215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</row>
    <row r="4" spans="1:43" s="246" customFormat="1" ht="15.75" customHeight="1">
      <c r="A4" s="189" t="s">
        <v>14</v>
      </c>
      <c r="B4" s="275">
        <v>39629</v>
      </c>
      <c r="C4" s="276">
        <v>0.9166666666666666</v>
      </c>
      <c r="D4" s="190" t="str">
        <f>testo!B13</f>
        <v>LEONI DI SAN MARCO</v>
      </c>
      <c r="E4" s="256">
        <v>3</v>
      </c>
      <c r="F4" s="250" t="s">
        <v>13</v>
      </c>
      <c r="G4" s="262">
        <v>15</v>
      </c>
      <c r="H4" s="217" t="str">
        <f>testo!B14</f>
        <v>EFFEDI SALOTTI</v>
      </c>
      <c r="I4" s="295">
        <v>2</v>
      </c>
      <c r="J4" s="315"/>
      <c r="K4" s="215" t="str">
        <f>GIRONE!M4</f>
        <v>P</v>
      </c>
      <c r="L4" s="216" t="str">
        <f>GIRONE!N4</f>
        <v>Pt</v>
      </c>
      <c r="M4" s="215" t="str">
        <f>GIRONE!O4</f>
        <v>GF</v>
      </c>
      <c r="N4" s="215" t="str">
        <f>GIRONE!P4</f>
        <v>GS</v>
      </c>
      <c r="O4" s="215" t="str">
        <f>GIRONE!Q4</f>
        <v>DR</v>
      </c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spans="1:43" s="246" customFormat="1" ht="15" customHeight="1">
      <c r="A5" s="287" t="s">
        <v>16</v>
      </c>
      <c r="B5" s="273">
        <v>39630</v>
      </c>
      <c r="C5" s="274">
        <v>0.875</v>
      </c>
      <c r="D5" s="188" t="str">
        <f>testo!B3</f>
        <v>AGENZIA BIONDINI</v>
      </c>
      <c r="E5" s="257">
        <v>8</v>
      </c>
      <c r="F5" s="249" t="s">
        <v>13</v>
      </c>
      <c r="G5" s="230">
        <v>4</v>
      </c>
      <c r="H5" s="214" t="str">
        <f>testo!B4</f>
        <v>BAGNOLO BARDI COSTR.</v>
      </c>
      <c r="I5" s="296">
        <v>3</v>
      </c>
      <c r="J5" s="218" t="str">
        <f>GIRONE!L5</f>
        <v>JAMO OUTLET</v>
      </c>
      <c r="K5" s="219">
        <f>GIRONE!M5</f>
        <v>3</v>
      </c>
      <c r="L5" s="220">
        <f>GIRONE!N5</f>
        <v>9</v>
      </c>
      <c r="M5" s="219">
        <f>GIRONE!O5</f>
        <v>18</v>
      </c>
      <c r="N5" s="219">
        <f>GIRONE!P5</f>
        <v>8</v>
      </c>
      <c r="O5" s="219">
        <f>GIRONE!Q5</f>
        <v>10</v>
      </c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</row>
    <row r="6" spans="1:43" s="246" customFormat="1" ht="15.75">
      <c r="A6" s="189" t="s">
        <v>14</v>
      </c>
      <c r="B6" s="275">
        <v>39630</v>
      </c>
      <c r="C6" s="274">
        <v>0.9166666666666666</v>
      </c>
      <c r="D6" s="188" t="str">
        <f>testo!B11</f>
        <v>REAL PROMALCOOLICA</v>
      </c>
      <c r="E6" s="256">
        <v>11</v>
      </c>
      <c r="F6" s="249" t="s">
        <v>13</v>
      </c>
      <c r="G6" s="262">
        <v>1</v>
      </c>
      <c r="H6" s="214" t="str">
        <f>testo!B12</f>
        <v>D.L. COSTRUZIONI 2000</v>
      </c>
      <c r="I6" s="296">
        <v>4</v>
      </c>
      <c r="J6" s="218" t="str">
        <f>GIRONE!L6</f>
        <v>AGENZIA BIONDINI</v>
      </c>
      <c r="K6" s="219">
        <f>GIRONE!M6</f>
        <v>3</v>
      </c>
      <c r="L6" s="220">
        <f>GIRONE!N6</f>
        <v>6</v>
      </c>
      <c r="M6" s="219">
        <f>GIRONE!O6</f>
        <v>19</v>
      </c>
      <c r="N6" s="219">
        <f>GIRONE!P6</f>
        <v>9</v>
      </c>
      <c r="O6" s="219">
        <f>GIRONE!Q6</f>
        <v>10</v>
      </c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</row>
    <row r="7" spans="1:43" s="246" customFormat="1" ht="15.75">
      <c r="A7" s="191" t="s">
        <v>15</v>
      </c>
      <c r="B7" s="273">
        <v>39631</v>
      </c>
      <c r="C7" s="278">
        <v>0.875</v>
      </c>
      <c r="D7" s="192" t="str">
        <f>testo!B27</f>
        <v>TRIAL</v>
      </c>
      <c r="E7" s="257">
        <v>16</v>
      </c>
      <c r="F7" s="251" t="s">
        <v>13</v>
      </c>
      <c r="G7" s="230">
        <v>0</v>
      </c>
      <c r="H7" s="221" t="str">
        <f>testo!B28</f>
        <v>CARROZZERIA FORLIVESE</v>
      </c>
      <c r="I7" s="297">
        <v>5</v>
      </c>
      <c r="J7" s="218" t="str">
        <f>GIRONE!L7</f>
        <v>AUDAX FORLIVESE</v>
      </c>
      <c r="K7" s="219">
        <f>GIRONE!M7</f>
        <v>3</v>
      </c>
      <c r="L7" s="220">
        <f>GIRONE!N7</f>
        <v>3</v>
      </c>
      <c r="M7" s="219">
        <f>GIRONE!O7</f>
        <v>9</v>
      </c>
      <c r="N7" s="219">
        <f>GIRONE!P7</f>
        <v>17</v>
      </c>
      <c r="O7" s="219">
        <f>GIRONE!Q7</f>
        <v>-8</v>
      </c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</row>
    <row r="8" spans="1:43" s="246" customFormat="1" ht="16.5" thickBot="1">
      <c r="A8" s="292" t="s">
        <v>15</v>
      </c>
      <c r="B8" s="275">
        <v>39631</v>
      </c>
      <c r="C8" s="276">
        <v>0.9166666666666666</v>
      </c>
      <c r="D8" s="190" t="str">
        <f>testo!B29</f>
        <v>CTR</v>
      </c>
      <c r="E8" s="256">
        <v>3</v>
      </c>
      <c r="F8" s="250" t="s">
        <v>13</v>
      </c>
      <c r="G8" s="262">
        <v>9</v>
      </c>
      <c r="H8" s="217" t="str">
        <f>testo!B30</f>
        <v>CAFFE FARINI</v>
      </c>
      <c r="I8" s="295">
        <v>6</v>
      </c>
      <c r="J8" s="283" t="str">
        <f>GIRONE!L8</f>
        <v>BAGNOLO BARDI COSTR.</v>
      </c>
      <c r="K8" s="234">
        <f>GIRONE!M8</f>
        <v>3</v>
      </c>
      <c r="L8" s="235">
        <f>GIRONE!N8</f>
        <v>0</v>
      </c>
      <c r="M8" s="234">
        <f>GIRONE!O8</f>
        <v>8</v>
      </c>
      <c r="N8" s="234">
        <f>GIRONE!P8</f>
        <v>20</v>
      </c>
      <c r="O8" s="234">
        <f>GIRONE!Q8</f>
        <v>-12</v>
      </c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</row>
    <row r="9" spans="1:43" s="246" customFormat="1" ht="15.75" customHeight="1">
      <c r="A9" s="187" t="s">
        <v>12</v>
      </c>
      <c r="B9" s="273">
        <v>39632</v>
      </c>
      <c r="C9" s="274">
        <v>0.875</v>
      </c>
      <c r="D9" s="188" t="str">
        <f>testo!B21</f>
        <v>ROSSI SRL</v>
      </c>
      <c r="E9" s="257">
        <v>2</v>
      </c>
      <c r="F9" s="249" t="s">
        <v>13</v>
      </c>
      <c r="G9" s="230">
        <v>5</v>
      </c>
      <c r="H9" s="214" t="str">
        <f>testo!B22</f>
        <v>DE STEFANI</v>
      </c>
      <c r="I9" s="296">
        <v>7</v>
      </c>
      <c r="J9" s="316" t="str">
        <f>" "&amp;GIRONE!L9</f>
        <v> B</v>
      </c>
      <c r="K9" s="222"/>
      <c r="L9" s="223"/>
      <c r="M9" s="222"/>
      <c r="N9" s="222"/>
      <c r="O9" s="222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</row>
    <row r="10" spans="1:43" s="246" customFormat="1" ht="15.75" customHeight="1">
      <c r="A10" s="291" t="s">
        <v>12</v>
      </c>
      <c r="B10" s="275">
        <v>39632</v>
      </c>
      <c r="C10" s="274">
        <v>0.9166666666666666</v>
      </c>
      <c r="D10" s="188" t="str">
        <f>testo!B19</f>
        <v>HAPPY DAYS</v>
      </c>
      <c r="E10" s="256">
        <v>1</v>
      </c>
      <c r="F10" s="249" t="s">
        <v>13</v>
      </c>
      <c r="G10" s="262">
        <v>5</v>
      </c>
      <c r="H10" s="214" t="str">
        <f>testo!B20</f>
        <v>VILLA PARK</v>
      </c>
      <c r="I10" s="296">
        <v>8</v>
      </c>
      <c r="J10" s="316"/>
      <c r="K10" s="222" t="str">
        <f>GIRONE!M10</f>
        <v>P</v>
      </c>
      <c r="L10" s="223" t="str">
        <f>GIRONE!N10</f>
        <v>Pt</v>
      </c>
      <c r="M10" s="222" t="str">
        <f>GIRONE!O10</f>
        <v>GF</v>
      </c>
      <c r="N10" s="222" t="str">
        <f>GIRONE!P10</f>
        <v>GS</v>
      </c>
      <c r="O10" s="222" t="str">
        <f>GIRONE!Q10</f>
        <v>DR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</row>
    <row r="11" spans="1:43" s="246" customFormat="1" ht="15.75" customHeight="1">
      <c r="A11" s="288" t="s">
        <v>14</v>
      </c>
      <c r="B11" s="273">
        <v>39636</v>
      </c>
      <c r="C11" s="278">
        <v>0.875</v>
      </c>
      <c r="D11" s="192" t="str">
        <f>testo!B12</f>
        <v>D.L. COSTRUZIONI 2000</v>
      </c>
      <c r="E11" s="257">
        <v>1</v>
      </c>
      <c r="F11" s="251" t="s">
        <v>13</v>
      </c>
      <c r="G11" s="230">
        <v>8</v>
      </c>
      <c r="H11" s="221" t="str">
        <f>testo!B14</f>
        <v>EFFEDI SALOTTI</v>
      </c>
      <c r="I11" s="297">
        <v>9</v>
      </c>
      <c r="J11" s="224" t="str">
        <f>GIRONE!L11</f>
        <v>EFFEDI SALOTTI</v>
      </c>
      <c r="K11" s="219">
        <f>GIRONE!M11</f>
        <v>3</v>
      </c>
      <c r="L11" s="220">
        <f>GIRONE!N11</f>
        <v>9</v>
      </c>
      <c r="M11" s="219">
        <f>GIRONE!O11</f>
        <v>28</v>
      </c>
      <c r="N11" s="219">
        <f>GIRONE!P11</f>
        <v>7</v>
      </c>
      <c r="O11" s="219">
        <f>GIRONE!Q11</f>
        <v>21</v>
      </c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</row>
    <row r="12" spans="1:43" s="246" customFormat="1" ht="15.75">
      <c r="A12" s="290" t="s">
        <v>16</v>
      </c>
      <c r="B12" s="275">
        <v>39636</v>
      </c>
      <c r="C12" s="276">
        <v>0.9166666666666666</v>
      </c>
      <c r="D12" s="190" t="str">
        <f>testo!B4</f>
        <v>BAGNOLO BARDI COSTR.</v>
      </c>
      <c r="E12" s="256">
        <v>1</v>
      </c>
      <c r="F12" s="250" t="s">
        <v>13</v>
      </c>
      <c r="G12" s="262">
        <v>8</v>
      </c>
      <c r="H12" s="217" t="str">
        <f>testo!B6</f>
        <v>JAMO OUTLET</v>
      </c>
      <c r="I12" s="295">
        <v>10</v>
      </c>
      <c r="J12" s="224" t="str">
        <f>GIRONE!L12</f>
        <v>REAL PROMALCOOLICA</v>
      </c>
      <c r="K12" s="219">
        <f>GIRONE!M12</f>
        <v>3</v>
      </c>
      <c r="L12" s="220">
        <f>GIRONE!N12</f>
        <v>6</v>
      </c>
      <c r="M12" s="219">
        <f>GIRONE!O12</f>
        <v>20</v>
      </c>
      <c r="N12" s="219">
        <f>GIRONE!P12</f>
        <v>9</v>
      </c>
      <c r="O12" s="219">
        <f>GIRONE!Q12</f>
        <v>11</v>
      </c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</row>
    <row r="13" spans="1:43" s="246" customFormat="1" ht="15.75">
      <c r="A13" s="287" t="s">
        <v>16</v>
      </c>
      <c r="B13" s="273">
        <v>39637</v>
      </c>
      <c r="C13" s="274">
        <v>0.875</v>
      </c>
      <c r="D13" s="188" t="str">
        <f>testo!B3</f>
        <v>AGENZIA BIONDINI</v>
      </c>
      <c r="E13" s="257">
        <v>8</v>
      </c>
      <c r="F13" s="249" t="s">
        <v>13</v>
      </c>
      <c r="G13" s="230">
        <v>1</v>
      </c>
      <c r="H13" s="214" t="str">
        <f>testo!B5</f>
        <v>AUDAX FORLIVESE</v>
      </c>
      <c r="I13" s="296">
        <v>11</v>
      </c>
      <c r="J13" s="224" t="str">
        <f>GIRONE!L13</f>
        <v>D.L. COSTRUZIONI 2000</v>
      </c>
      <c r="K13" s="219">
        <f>GIRONE!M13</f>
        <v>3</v>
      </c>
      <c r="L13" s="220">
        <f>GIRONE!N13</f>
        <v>3</v>
      </c>
      <c r="M13" s="219">
        <f>GIRONE!O13</f>
        <v>17</v>
      </c>
      <c r="N13" s="219">
        <f>GIRONE!P13</f>
        <v>27</v>
      </c>
      <c r="O13" s="219">
        <f>GIRONE!Q13</f>
        <v>-10</v>
      </c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</row>
    <row r="14" spans="1:43" s="246" customFormat="1" ht="16.5" thickBot="1">
      <c r="A14" s="292" t="s">
        <v>15</v>
      </c>
      <c r="B14" s="275">
        <v>39637</v>
      </c>
      <c r="C14" s="274">
        <v>0.9166666666666666</v>
      </c>
      <c r="D14" s="188" t="str">
        <f>testo!B28</f>
        <v>CARROZZERIA FORLIVESE</v>
      </c>
      <c r="E14" s="256">
        <v>0</v>
      </c>
      <c r="F14" s="249" t="s">
        <v>13</v>
      </c>
      <c r="G14" s="262">
        <v>7</v>
      </c>
      <c r="H14" s="214" t="str">
        <f>testo!B30</f>
        <v>CAFFE FARINI</v>
      </c>
      <c r="I14" s="296">
        <v>12</v>
      </c>
      <c r="J14" s="284" t="str">
        <f>GIRONE!L14</f>
        <v>LEONI DI SAN MARCO</v>
      </c>
      <c r="K14" s="234">
        <f>GIRONE!M14</f>
        <v>3</v>
      </c>
      <c r="L14" s="235">
        <f>GIRONE!N14</f>
        <v>0</v>
      </c>
      <c r="M14" s="234">
        <f>GIRONE!O14</f>
        <v>14</v>
      </c>
      <c r="N14" s="234">
        <f>GIRONE!P14</f>
        <v>36</v>
      </c>
      <c r="O14" s="234">
        <f>GIRONE!Q14</f>
        <v>-22</v>
      </c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</row>
    <row r="15" spans="1:43" s="246" customFormat="1" ht="15.75" customHeight="1">
      <c r="A15" s="187" t="s">
        <v>12</v>
      </c>
      <c r="B15" s="273">
        <v>39638</v>
      </c>
      <c r="C15" s="278">
        <v>0.875</v>
      </c>
      <c r="D15" s="192" t="str">
        <f>testo!B22</f>
        <v>DE STEFANI</v>
      </c>
      <c r="E15" s="257">
        <v>3</v>
      </c>
      <c r="F15" s="251" t="s">
        <v>13</v>
      </c>
      <c r="G15" s="230">
        <v>4</v>
      </c>
      <c r="H15" s="221" t="str">
        <f>testo!B20</f>
        <v>VILLA PARK</v>
      </c>
      <c r="I15" s="297">
        <v>13</v>
      </c>
      <c r="J15" s="317" t="str">
        <f>" "&amp;GIRONE!L15</f>
        <v> C</v>
      </c>
      <c r="K15" s="225"/>
      <c r="L15" s="226"/>
      <c r="M15" s="225"/>
      <c r="N15" s="225"/>
      <c r="O15" s="225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</row>
    <row r="16" spans="1:43" s="246" customFormat="1" ht="15.75" customHeight="1">
      <c r="A16" s="291" t="s">
        <v>12</v>
      </c>
      <c r="B16" s="275">
        <v>39638</v>
      </c>
      <c r="C16" s="276">
        <v>0.9166666666666666</v>
      </c>
      <c r="D16" s="190" t="str">
        <f>testo!B19</f>
        <v>HAPPY DAYS</v>
      </c>
      <c r="E16" s="256">
        <v>13</v>
      </c>
      <c r="F16" s="250" t="s">
        <v>13</v>
      </c>
      <c r="G16" s="262">
        <v>1</v>
      </c>
      <c r="H16" s="217" t="str">
        <f>testo!B21</f>
        <v>ROSSI SRL</v>
      </c>
      <c r="I16" s="295">
        <v>14</v>
      </c>
      <c r="J16" s="317"/>
      <c r="K16" s="225" t="str">
        <f>GIRONE!M16</f>
        <v>P</v>
      </c>
      <c r="L16" s="226" t="str">
        <f>GIRONE!N16</f>
        <v>Pt</v>
      </c>
      <c r="M16" s="225" t="str">
        <f>GIRONE!O16</f>
        <v>GF</v>
      </c>
      <c r="N16" s="225" t="str">
        <f>GIRONE!P16</f>
        <v>GS</v>
      </c>
      <c r="O16" s="225" t="str">
        <f>GIRONE!Q16</f>
        <v>DR</v>
      </c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</row>
    <row r="17" spans="1:43" s="246" customFormat="1" ht="15.75" customHeight="1">
      <c r="A17" s="288" t="s">
        <v>14</v>
      </c>
      <c r="B17" s="273">
        <v>39639</v>
      </c>
      <c r="C17" s="274">
        <v>0.875</v>
      </c>
      <c r="D17" s="188" t="str">
        <f>testo!B11</f>
        <v>REAL PROMALCOOLICA</v>
      </c>
      <c r="E17" s="257">
        <v>6</v>
      </c>
      <c r="F17" s="249" t="s">
        <v>13</v>
      </c>
      <c r="G17" s="230">
        <v>3</v>
      </c>
      <c r="H17" s="214" t="str">
        <f>testo!B13</f>
        <v>LEONI DI SAN MARCO</v>
      </c>
      <c r="I17" s="296">
        <v>15</v>
      </c>
      <c r="J17" s="227" t="str">
        <f>GIRONE!L17</f>
        <v>VILLA PARK</v>
      </c>
      <c r="K17" s="219">
        <f>GIRONE!M17</f>
        <v>3</v>
      </c>
      <c r="L17" s="220">
        <f>GIRONE!N17</f>
        <v>9</v>
      </c>
      <c r="M17" s="219">
        <f>GIRONE!O17</f>
        <v>13</v>
      </c>
      <c r="N17" s="219">
        <f>GIRONE!P17</f>
        <v>4</v>
      </c>
      <c r="O17" s="219">
        <f>GIRONE!Q17</f>
        <v>9</v>
      </c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</row>
    <row r="18" spans="1:43" s="246" customFormat="1" ht="15.75">
      <c r="A18" s="292" t="s">
        <v>15</v>
      </c>
      <c r="B18" s="275">
        <v>39639</v>
      </c>
      <c r="C18" s="274">
        <v>0.9166666666666666</v>
      </c>
      <c r="D18" s="188" t="str">
        <f>testo!B27</f>
        <v>TRIAL</v>
      </c>
      <c r="E18" s="256">
        <v>13</v>
      </c>
      <c r="F18" s="249" t="s">
        <v>13</v>
      </c>
      <c r="G18" s="262">
        <v>1</v>
      </c>
      <c r="H18" s="214" t="str">
        <f>testo!B29</f>
        <v>CTR</v>
      </c>
      <c r="I18" s="296">
        <v>16</v>
      </c>
      <c r="J18" s="227" t="str">
        <f>GIRONE!L18</f>
        <v>HAPPY DAYS</v>
      </c>
      <c r="K18" s="219">
        <f>GIRONE!M18</f>
        <v>3</v>
      </c>
      <c r="L18" s="220">
        <f>GIRONE!N18</f>
        <v>6</v>
      </c>
      <c r="M18" s="219">
        <f>GIRONE!O18</f>
        <v>19</v>
      </c>
      <c r="N18" s="219">
        <f>GIRONE!P18</f>
        <v>10</v>
      </c>
      <c r="O18" s="219">
        <f>GIRONE!Q18</f>
        <v>9</v>
      </c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</row>
    <row r="19" spans="1:43" s="246" customFormat="1" ht="15.75">
      <c r="A19" s="287" t="s">
        <v>16</v>
      </c>
      <c r="B19" s="273">
        <v>39643</v>
      </c>
      <c r="C19" s="278">
        <v>0.875</v>
      </c>
      <c r="D19" s="192" t="str">
        <f>testo!B3</f>
        <v>AGENZIA BIONDINI</v>
      </c>
      <c r="E19" s="257">
        <v>3</v>
      </c>
      <c r="F19" s="251" t="s">
        <v>13</v>
      </c>
      <c r="G19" s="230">
        <v>4</v>
      </c>
      <c r="H19" s="221" t="str">
        <f>testo!B6</f>
        <v>JAMO OUTLET</v>
      </c>
      <c r="I19" s="297">
        <v>17</v>
      </c>
      <c r="J19" s="227" t="str">
        <f>GIRONE!L19</f>
        <v>DE STEFANI</v>
      </c>
      <c r="K19" s="219">
        <f>GIRONE!M19</f>
        <v>3</v>
      </c>
      <c r="L19" s="220">
        <f>GIRONE!N19</f>
        <v>3</v>
      </c>
      <c r="M19" s="219">
        <f>GIRONE!O19</f>
        <v>12</v>
      </c>
      <c r="N19" s="219">
        <f>GIRONE!P19</f>
        <v>11</v>
      </c>
      <c r="O19" s="219">
        <f>GIRONE!Q19</f>
        <v>1</v>
      </c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</row>
    <row r="20" spans="1:43" s="246" customFormat="1" ht="16.5" thickBot="1">
      <c r="A20" s="290" t="s">
        <v>16</v>
      </c>
      <c r="B20" s="275">
        <v>39643</v>
      </c>
      <c r="C20" s="276">
        <v>0.9166666666666666</v>
      </c>
      <c r="D20" s="190" t="str">
        <f>testo!B4</f>
        <v>BAGNOLO BARDI COSTR.</v>
      </c>
      <c r="E20" s="256">
        <v>3</v>
      </c>
      <c r="F20" s="250" t="s">
        <v>13</v>
      </c>
      <c r="G20" s="262">
        <v>4</v>
      </c>
      <c r="H20" s="217" t="str">
        <f>testo!B5</f>
        <v>AUDAX FORLIVESE</v>
      </c>
      <c r="I20" s="295">
        <v>18</v>
      </c>
      <c r="J20" s="285" t="str">
        <f>GIRONE!L20</f>
        <v>ROSSI SRL</v>
      </c>
      <c r="K20" s="234">
        <f>GIRONE!M20</f>
        <v>3</v>
      </c>
      <c r="L20" s="235">
        <f>GIRONE!N20</f>
        <v>0</v>
      </c>
      <c r="M20" s="234">
        <f>GIRONE!O20</f>
        <v>3</v>
      </c>
      <c r="N20" s="234">
        <f>GIRONE!P20</f>
        <v>22</v>
      </c>
      <c r="O20" s="234">
        <f>GIRONE!Q20</f>
        <v>-19</v>
      </c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</row>
    <row r="21" spans="1:43" s="246" customFormat="1" ht="15.75" customHeight="1">
      <c r="A21" s="288" t="s">
        <v>14</v>
      </c>
      <c r="B21" s="273">
        <v>39644</v>
      </c>
      <c r="C21" s="274">
        <v>0.875</v>
      </c>
      <c r="D21" s="188" t="str">
        <f>testo!B11</f>
        <v>REAL PROMALCOOLICA</v>
      </c>
      <c r="E21" s="257">
        <v>3</v>
      </c>
      <c r="F21" s="249" t="s">
        <v>13</v>
      </c>
      <c r="G21" s="230">
        <v>5</v>
      </c>
      <c r="H21" s="214" t="str">
        <f>testo!B14</f>
        <v>EFFEDI SALOTTI</v>
      </c>
      <c r="I21" s="296">
        <v>19</v>
      </c>
      <c r="J21" s="320" t="str">
        <f>" "&amp;GIRONE!L21</f>
        <v> D</v>
      </c>
      <c r="K21" s="228"/>
      <c r="L21" s="229"/>
      <c r="M21" s="228"/>
      <c r="N21" s="228"/>
      <c r="O21" s="228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</row>
    <row r="22" spans="1:43" s="246" customFormat="1" ht="15.75" customHeight="1">
      <c r="A22" s="292" t="s">
        <v>15</v>
      </c>
      <c r="B22" s="275">
        <v>39644</v>
      </c>
      <c r="C22" s="274">
        <v>0.9166666666666666</v>
      </c>
      <c r="D22" s="188" t="str">
        <f>testo!B27</f>
        <v>TRIAL</v>
      </c>
      <c r="E22" s="256">
        <v>9</v>
      </c>
      <c r="F22" s="249" t="s">
        <v>13</v>
      </c>
      <c r="G22" s="262">
        <v>3</v>
      </c>
      <c r="H22" s="214" t="str">
        <f>testo!B30</f>
        <v>CAFFE FARINI</v>
      </c>
      <c r="I22" s="296">
        <v>20</v>
      </c>
      <c r="J22" s="320"/>
      <c r="K22" s="228" t="str">
        <f>GIRONE!M22</f>
        <v>P</v>
      </c>
      <c r="L22" s="229" t="str">
        <f>GIRONE!N22</f>
        <v>Pt</v>
      </c>
      <c r="M22" s="228" t="str">
        <f>GIRONE!O22</f>
        <v>GF</v>
      </c>
      <c r="N22" s="228" t="str">
        <f>GIRONE!P22</f>
        <v>GS</v>
      </c>
      <c r="O22" s="228" t="str">
        <f>GIRONE!Q22</f>
        <v>DR</v>
      </c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</row>
    <row r="23" spans="1:43" s="246" customFormat="1" ht="15.75" customHeight="1">
      <c r="A23" s="187" t="s">
        <v>12</v>
      </c>
      <c r="B23" s="273">
        <v>39645</v>
      </c>
      <c r="C23" s="278">
        <v>0.875</v>
      </c>
      <c r="D23" s="192" t="str">
        <f>testo!B19</f>
        <v>HAPPY DAYS</v>
      </c>
      <c r="E23" s="257">
        <v>5</v>
      </c>
      <c r="F23" s="251" t="s">
        <v>13</v>
      </c>
      <c r="G23" s="230">
        <v>4</v>
      </c>
      <c r="H23" s="221" t="str">
        <f>testo!B22</f>
        <v>DE STEFANI</v>
      </c>
      <c r="I23" s="297">
        <v>21</v>
      </c>
      <c r="J23" s="231" t="str">
        <f>GIRONE!L23</f>
        <v>TRIAL</v>
      </c>
      <c r="K23" s="219">
        <f>GIRONE!M23</f>
        <v>3</v>
      </c>
      <c r="L23" s="220">
        <f>GIRONE!N23</f>
        <v>9</v>
      </c>
      <c r="M23" s="219">
        <f>GIRONE!O23</f>
        <v>38</v>
      </c>
      <c r="N23" s="219">
        <f>GIRONE!P23</f>
        <v>4</v>
      </c>
      <c r="O23" s="219">
        <f>GIRONE!Q23</f>
        <v>34</v>
      </c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</row>
    <row r="24" spans="1:43" s="246" customFormat="1" ht="15.75">
      <c r="A24" s="291" t="s">
        <v>12</v>
      </c>
      <c r="B24" s="275">
        <v>39645</v>
      </c>
      <c r="C24" s="276">
        <v>0.9166666666666666</v>
      </c>
      <c r="D24" s="190" t="str">
        <f>testo!B20</f>
        <v>VILLA PARK</v>
      </c>
      <c r="E24" s="256">
        <v>4</v>
      </c>
      <c r="F24" s="250" t="s">
        <v>13</v>
      </c>
      <c r="G24" s="262">
        <v>0</v>
      </c>
      <c r="H24" s="217" t="str">
        <f>testo!B21</f>
        <v>ROSSI SRL</v>
      </c>
      <c r="I24" s="295">
        <v>22</v>
      </c>
      <c r="J24" s="231" t="str">
        <f>GIRONE!L24</f>
        <v>CAFFE FARINI</v>
      </c>
      <c r="K24" s="219">
        <f>GIRONE!M24</f>
        <v>3</v>
      </c>
      <c r="L24" s="220">
        <f>GIRONE!N24</f>
        <v>6</v>
      </c>
      <c r="M24" s="219">
        <f>GIRONE!O24</f>
        <v>19</v>
      </c>
      <c r="N24" s="219">
        <f>GIRONE!P24</f>
        <v>12</v>
      </c>
      <c r="O24" s="219">
        <f>GIRONE!Q24</f>
        <v>7</v>
      </c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</row>
    <row r="25" spans="1:43" s="246" customFormat="1" ht="15.75">
      <c r="A25" s="191" t="s">
        <v>15</v>
      </c>
      <c r="B25" s="273">
        <v>39646</v>
      </c>
      <c r="C25" s="278">
        <v>0.875</v>
      </c>
      <c r="D25" s="192" t="str">
        <f>testo!B28</f>
        <v>CARROZZERIA FORLIVESE</v>
      </c>
      <c r="E25" s="255">
        <v>0</v>
      </c>
      <c r="F25" s="249" t="s">
        <v>13</v>
      </c>
      <c r="G25" s="261">
        <v>4</v>
      </c>
      <c r="H25" s="221" t="str">
        <f>testo!B29</f>
        <v>CTR</v>
      </c>
      <c r="I25" s="297">
        <v>23</v>
      </c>
      <c r="J25" s="231" t="str">
        <f>GIRONE!L25</f>
        <v>CTR</v>
      </c>
      <c r="K25" s="219">
        <f>GIRONE!M25</f>
        <v>3</v>
      </c>
      <c r="L25" s="220">
        <f>GIRONE!N25</f>
        <v>3</v>
      </c>
      <c r="M25" s="219">
        <f>GIRONE!O25</f>
        <v>8</v>
      </c>
      <c r="N25" s="219">
        <f>GIRONE!P25</f>
        <v>22</v>
      </c>
      <c r="O25" s="219">
        <f>GIRONE!Q25</f>
        <v>-14</v>
      </c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</row>
    <row r="26" spans="1:43" s="246" customFormat="1" ht="16.5" thickBot="1">
      <c r="A26" s="289" t="s">
        <v>14</v>
      </c>
      <c r="B26" s="279">
        <v>39646</v>
      </c>
      <c r="C26" s="280">
        <v>0.9166666666666666</v>
      </c>
      <c r="D26" s="193" t="str">
        <f>testo!B12</f>
        <v>D.L. COSTRUZIONI 2000</v>
      </c>
      <c r="E26" s="258">
        <v>15</v>
      </c>
      <c r="F26" s="252" t="s">
        <v>13</v>
      </c>
      <c r="G26" s="263">
        <v>8</v>
      </c>
      <c r="H26" s="232" t="str">
        <f>testo!B13</f>
        <v>LEONI DI SAN MARCO</v>
      </c>
      <c r="I26" s="298">
        <v>24</v>
      </c>
      <c r="J26" s="233" t="str">
        <f>GIRONE!L26</f>
        <v>CARROZZERIA FORLIVESE</v>
      </c>
      <c r="K26" s="234">
        <f>GIRONE!M26</f>
        <v>3</v>
      </c>
      <c r="L26" s="235">
        <f>GIRONE!N26</f>
        <v>0</v>
      </c>
      <c r="M26" s="234">
        <f>GIRONE!O26</f>
        <v>0</v>
      </c>
      <c r="N26" s="234">
        <f>GIRONE!P26</f>
        <v>27</v>
      </c>
      <c r="O26" s="234">
        <f>GIRONE!Q26</f>
        <v>-27</v>
      </c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</row>
    <row r="27" spans="2:43" ht="15.75">
      <c r="B27" s="281"/>
      <c r="C27" s="282"/>
      <c r="D27" s="197"/>
      <c r="E27" s="259"/>
      <c r="G27" s="264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</row>
    <row r="28" spans="1:43" ht="15.75" customHeight="1">
      <c r="A28" s="324" t="s">
        <v>17</v>
      </c>
      <c r="B28" s="277">
        <v>39650</v>
      </c>
      <c r="C28" s="278">
        <v>0.875</v>
      </c>
      <c r="D28" s="198" t="str">
        <f>GIRONE!D28</f>
        <v>JAMO OUTLET</v>
      </c>
      <c r="E28" s="257">
        <v>4</v>
      </c>
      <c r="F28" s="251" t="s">
        <v>13</v>
      </c>
      <c r="G28" s="230">
        <v>2</v>
      </c>
      <c r="H28" s="241" t="str">
        <f>GIRONE!H28</f>
        <v>REAL PROMALCOOLICA</v>
      </c>
      <c r="I28" s="300">
        <v>25</v>
      </c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</row>
    <row r="29" spans="1:43" ht="15.75" customHeight="1">
      <c r="A29" s="325"/>
      <c r="B29" s="275">
        <v>39650</v>
      </c>
      <c r="C29" s="276">
        <v>0.9166666666666666</v>
      </c>
      <c r="D29" s="199" t="str">
        <f>GIRONE!D29</f>
        <v>VILLA PARK</v>
      </c>
      <c r="E29" s="256">
        <v>8</v>
      </c>
      <c r="F29" s="250" t="s">
        <v>13</v>
      </c>
      <c r="G29" s="262">
        <v>4</v>
      </c>
      <c r="H29" s="242" t="str">
        <f>GIRONE!H29</f>
        <v>CAFFE FARINI</v>
      </c>
      <c r="I29" s="301">
        <v>26</v>
      </c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</row>
    <row r="30" spans="1:43" ht="15.75" customHeight="1">
      <c r="A30" s="325"/>
      <c r="B30" s="273">
        <v>39651</v>
      </c>
      <c r="C30" s="274">
        <v>0.875</v>
      </c>
      <c r="D30" s="200" t="str">
        <f>GIRONE!D30</f>
        <v>EFFEDI SALOTTI</v>
      </c>
      <c r="E30" s="255">
        <v>4</v>
      </c>
      <c r="F30" s="249" t="s">
        <v>13</v>
      </c>
      <c r="G30" s="261">
        <v>0</v>
      </c>
      <c r="H30" s="243" t="str">
        <f>GIRONE!H30</f>
        <v>AGENZIA BIONDINI</v>
      </c>
      <c r="I30" s="302">
        <v>27</v>
      </c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</row>
    <row r="31" spans="1:43" ht="16.5" customHeight="1" thickBot="1">
      <c r="A31" s="326"/>
      <c r="B31" s="279">
        <v>39651</v>
      </c>
      <c r="C31" s="280">
        <v>0.9166666666666666</v>
      </c>
      <c r="D31" s="201" t="str">
        <f>GIRONE!D31</f>
        <v>TRIAL</v>
      </c>
      <c r="E31" s="258">
        <v>9</v>
      </c>
      <c r="F31" s="252" t="s">
        <v>13</v>
      </c>
      <c r="G31" s="263">
        <v>6</v>
      </c>
      <c r="H31" s="244" t="str">
        <f>GIRONE!H31</f>
        <v>HAPPY DAYS</v>
      </c>
      <c r="I31" s="303">
        <v>28</v>
      </c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</row>
    <row r="32" spans="2:43" ht="15.75">
      <c r="B32" s="281"/>
      <c r="C32" s="282"/>
      <c r="D32" s="202"/>
      <c r="E32" s="259"/>
      <c r="G32" s="264"/>
      <c r="H32" s="202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</row>
    <row r="33" spans="1:43" ht="15.75" customHeight="1">
      <c r="A33" s="327" t="s">
        <v>18</v>
      </c>
      <c r="B33" s="277">
        <v>39653</v>
      </c>
      <c r="C33" s="278">
        <v>0.875</v>
      </c>
      <c r="D33" s="203" t="str">
        <f>IF(OR(ISBLANK(E28),ISBLANK(G28)),testo!B84&amp;" "&amp;testo!B87&amp;" 25",IF(E28&gt;G28,D28,H28))</f>
        <v>JAMO OUTLET</v>
      </c>
      <c r="E33" s="257">
        <v>7</v>
      </c>
      <c r="F33" s="251" t="s">
        <v>13</v>
      </c>
      <c r="G33" s="230">
        <v>5</v>
      </c>
      <c r="H33" s="203" t="str">
        <f>IF(OR(ISBLANK(E29),ISBLANK(G29)),testo!B84&amp;" "&amp;testo!B87&amp;" 26",IF(E29&gt;G29,D29,H29))</f>
        <v>VILLA PARK</v>
      </c>
      <c r="I33" s="300">
        <v>29</v>
      </c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</row>
    <row r="34" spans="1:43" ht="15.75" customHeight="1" thickBot="1">
      <c r="A34" s="328"/>
      <c r="B34" s="279">
        <v>39653</v>
      </c>
      <c r="C34" s="280">
        <v>0.9166666666666666</v>
      </c>
      <c r="D34" s="204" t="str">
        <f>IF(OR(ISBLANK(E30),ISBLANK(G30)),testo!B84&amp;" "&amp;testo!B87&amp;" 27",IF(E30&gt;G30,D30,H30))</f>
        <v>EFFEDI SALOTTI</v>
      </c>
      <c r="E34" s="258">
        <v>9</v>
      </c>
      <c r="F34" s="252" t="s">
        <v>13</v>
      </c>
      <c r="G34" s="263">
        <v>6</v>
      </c>
      <c r="H34" s="204" t="str">
        <f>IF(OR(ISBLANK(E31),ISBLANK(G31)),testo!B84&amp;" "&amp;testo!B87&amp;" 28",IF(E31&gt;G31,D31,H31))</f>
        <v>TRIAL</v>
      </c>
      <c r="I34" s="303">
        <v>30</v>
      </c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</row>
    <row r="35" spans="2:43" ht="15.75" customHeight="1">
      <c r="B35" s="281"/>
      <c r="C35" s="282"/>
      <c r="D35" s="202"/>
      <c r="E35" s="259"/>
      <c r="G35" s="264"/>
      <c r="H35" s="202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</row>
    <row r="36" spans="1:43" ht="15.75" customHeight="1">
      <c r="A36" s="318"/>
      <c r="B36" s="277">
        <v>39656</v>
      </c>
      <c r="C36" s="278">
        <v>0.875</v>
      </c>
      <c r="D36" s="205" t="str">
        <f>IF(OR(ISBLANK(E33),ISBLANK(G33)),testo!B85&amp;" "&amp;testo!B87&amp;" 29",IF(E33&lt;G33,D33,H33))</f>
        <v>VILLA PARK</v>
      </c>
      <c r="E36" s="257">
        <v>1</v>
      </c>
      <c r="F36" s="251" t="s">
        <v>13</v>
      </c>
      <c r="G36" s="230">
        <v>9</v>
      </c>
      <c r="H36" s="205" t="str">
        <f>IF(OR(ISBLANK(E34),ISBLANK(G34)),testo!B85&amp;" "&amp;testo!B87&amp;" 30",IF(E34&lt;G34,D34,H34))</f>
        <v>TRIAL</v>
      </c>
      <c r="I36" s="300">
        <v>31</v>
      </c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</row>
    <row r="37" spans="1:43" ht="22.5" customHeight="1" thickBot="1">
      <c r="A37" s="319"/>
      <c r="B37" s="279">
        <v>39656</v>
      </c>
      <c r="C37" s="280">
        <v>0.9166666666666666</v>
      </c>
      <c r="D37" s="312" t="str">
        <f>IF(OR(ISBLANK(E33),ISBLANK(G33)),testo!B84&amp;" "&amp;testo!B87&amp;" 29",IF(E33&gt;G33,D33,H33))</f>
        <v>JAMO OUTLET</v>
      </c>
      <c r="E37" s="260">
        <v>5</v>
      </c>
      <c r="F37" s="245" t="s">
        <v>13</v>
      </c>
      <c r="G37" s="265">
        <v>6</v>
      </c>
      <c r="H37" s="206" t="str">
        <f>IF(OR(ISBLANK(E34),ISBLANK(G34)),testo!B84&amp;" "&amp;testo!B87&amp;" 30",IF(E34&gt;G34,D34,H34))</f>
        <v>EFFEDI SALOTTI</v>
      </c>
      <c r="I37" s="303">
        <v>32</v>
      </c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</row>
    <row r="38" spans="19:43" ht="15.75"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</row>
    <row r="39" spans="1:43" ht="12.7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L39" s="239"/>
      <c r="P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</row>
    <row r="40" spans="19:43" ht="15.75"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</row>
  </sheetData>
  <sheetProtection sheet="1" objects="1" scenarios="1" selectLockedCells="1"/>
  <protectedRanges>
    <protectedRange sqref="Z3:Z37 G3:G37" name="Intervallo2"/>
    <protectedRange sqref="X3:X37 E3:E37" name="Intervallo1"/>
  </protectedRanges>
  <mergeCells count="9">
    <mergeCell ref="M1:N1"/>
    <mergeCell ref="J3:J4"/>
    <mergeCell ref="J9:J10"/>
    <mergeCell ref="J15:J16"/>
    <mergeCell ref="A36:A37"/>
    <mergeCell ref="J21:J22"/>
    <mergeCell ref="B1:H1"/>
    <mergeCell ref="A28:A31"/>
    <mergeCell ref="A33:A34"/>
  </mergeCells>
  <printOptions/>
  <pageMargins left="0.34" right="0.65" top="0.35" bottom="0.4" header="0.5" footer="0.26"/>
  <pageSetup fitToHeight="1" fitToWidth="1" horizontalDpi="600" verticalDpi="600" orientation="landscape" paperSize="9" scale="94" r:id="rId1"/>
  <ignoredErrors>
    <ignoredError sqref="H14 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2.75"/>
  <cols>
    <col min="1" max="1" width="6.7109375" style="83" customWidth="1"/>
    <col min="2" max="2" width="6.7109375" style="84" customWidth="1"/>
    <col min="3" max="3" width="6.57421875" style="85" customWidth="1"/>
    <col min="4" max="4" width="27.7109375" style="87" customWidth="1"/>
    <col min="5" max="5" width="3.7109375" style="272" customWidth="1"/>
    <col min="6" max="6" width="1.421875" style="87" customWidth="1"/>
    <col min="7" max="7" width="3.7109375" style="272" customWidth="1"/>
    <col min="8" max="8" width="27.7109375" style="86" customWidth="1"/>
    <col min="9" max="9" width="4.140625" style="308" customWidth="1"/>
    <col min="10" max="10" width="0.9921875" style="88" customWidth="1"/>
    <col min="11" max="11" width="0.85546875" style="22" customWidth="1"/>
    <col min="12" max="12" width="24.140625" style="89" customWidth="1"/>
    <col min="13" max="13" width="4.7109375" style="23" customWidth="1"/>
    <col min="14" max="14" width="5.7109375" style="24" customWidth="1"/>
    <col min="15" max="17" width="4.7109375" style="23" customWidth="1"/>
    <col min="18" max="16384" width="9.140625" style="22" customWidth="1"/>
  </cols>
  <sheetData>
    <row r="1" spans="1:17" ht="20.25">
      <c r="A1" s="28"/>
      <c r="B1" s="340" t="s">
        <v>121</v>
      </c>
      <c r="C1" s="341"/>
      <c r="D1" s="341"/>
      <c r="E1" s="341"/>
      <c r="F1" s="341"/>
      <c r="G1" s="341"/>
      <c r="H1" s="342"/>
      <c r="I1" s="304"/>
      <c r="J1" s="29"/>
      <c r="K1" s="30"/>
      <c r="L1" s="31"/>
      <c r="M1" s="1" t="s">
        <v>0</v>
      </c>
      <c r="N1" s="32"/>
      <c r="O1" s="339" t="s">
        <v>1</v>
      </c>
      <c r="P1" s="339"/>
      <c r="Q1" s="2" t="s">
        <v>19</v>
      </c>
    </row>
    <row r="2" spans="1:17" s="5" customFormat="1" ht="16.5" thickBot="1">
      <c r="A2" s="3" t="s">
        <v>3</v>
      </c>
      <c r="B2" s="3" t="s">
        <v>4</v>
      </c>
      <c r="C2" s="3" t="s">
        <v>5</v>
      </c>
      <c r="D2" s="50"/>
      <c r="E2" s="50"/>
      <c r="F2" s="4"/>
      <c r="G2" s="27"/>
      <c r="H2" s="4"/>
      <c r="I2" s="3" t="s">
        <v>6</v>
      </c>
      <c r="J2" s="4"/>
      <c r="K2" s="33"/>
      <c r="L2" s="34"/>
      <c r="M2" s="33" t="s">
        <v>7</v>
      </c>
      <c r="N2" s="35" t="s">
        <v>8</v>
      </c>
      <c r="O2" s="35" t="s">
        <v>9</v>
      </c>
      <c r="P2" s="36" t="s">
        <v>10</v>
      </c>
      <c r="Q2" s="36" t="s">
        <v>11</v>
      </c>
    </row>
    <row r="3" spans="1:17" ht="15.75" customHeight="1">
      <c r="A3" s="348" t="s">
        <v>16</v>
      </c>
      <c r="B3" s="37">
        <v>39629</v>
      </c>
      <c r="C3" s="38">
        <v>0.875</v>
      </c>
      <c r="D3" s="39" t="str">
        <f>testo!B5</f>
        <v>AUDAX FORLIVESE</v>
      </c>
      <c r="E3" s="269">
        <f>IF(ISNUMBER(DATA!E3),DATA!E3,"")</f>
        <v>4</v>
      </c>
      <c r="F3" s="100" t="s">
        <v>13</v>
      </c>
      <c r="G3" s="269">
        <f>IF(ISNUMBER(DATA!G3),DATA!G3,"")</f>
        <v>6</v>
      </c>
      <c r="H3" s="15" t="str">
        <f>testo!B6</f>
        <v>JAMO OUTLET</v>
      </c>
      <c r="I3" s="305">
        <v>5</v>
      </c>
      <c r="J3" s="41"/>
      <c r="K3" s="42" t="b">
        <f>(calcolo!AD10=testo!B$73)</f>
        <v>0</v>
      </c>
      <c r="L3" s="350" t="s">
        <v>16</v>
      </c>
      <c r="M3" s="6"/>
      <c r="N3" s="7"/>
      <c r="O3" s="6"/>
      <c r="P3" s="6"/>
      <c r="Q3" s="6"/>
    </row>
    <row r="4" spans="1:17" ht="15.75" customHeight="1">
      <c r="A4" s="348"/>
      <c r="B4" s="37">
        <v>39630</v>
      </c>
      <c r="C4" s="38">
        <v>0.875</v>
      </c>
      <c r="D4" s="39" t="str">
        <f>testo!B3</f>
        <v>AGENZIA BIONDINI</v>
      </c>
      <c r="E4" s="269">
        <f>IF(ISNUMBER(DATA!E5),DATA!E5,"")</f>
        <v>8</v>
      </c>
      <c r="F4" s="100" t="s">
        <v>13</v>
      </c>
      <c r="G4" s="269">
        <f>IF(ISNUMBER(DATA!G5),DATA!G5,"")</f>
        <v>4</v>
      </c>
      <c r="H4" s="15" t="str">
        <f>testo!B4</f>
        <v>BAGNOLO BARDI COSTR.</v>
      </c>
      <c r="I4" s="305">
        <v>9</v>
      </c>
      <c r="J4" s="41"/>
      <c r="K4" s="42"/>
      <c r="L4" s="350"/>
      <c r="M4" s="6" t="str">
        <f>calcolo!W5</f>
        <v>P</v>
      </c>
      <c r="N4" s="7" t="str">
        <f>calcolo!X5</f>
        <v>Pt</v>
      </c>
      <c r="O4" s="6" t="str">
        <f>calcolo!Y5</f>
        <v>GF</v>
      </c>
      <c r="P4" s="6" t="str">
        <f>calcolo!Z5</f>
        <v>GS</v>
      </c>
      <c r="Q4" s="6" t="str">
        <f>calcolo!AA5</f>
        <v>DR</v>
      </c>
    </row>
    <row r="5" spans="1:17" ht="15.75" customHeight="1">
      <c r="A5" s="348"/>
      <c r="B5" s="37">
        <v>39636</v>
      </c>
      <c r="C5" s="38">
        <v>0.9166666666666666</v>
      </c>
      <c r="D5" s="39" t="str">
        <f>testo!B4</f>
        <v>BAGNOLO BARDI COSTR.</v>
      </c>
      <c r="E5" s="269">
        <f>IF(ISNUMBER(DATA!E12),DATA!E12,"")</f>
        <v>1</v>
      </c>
      <c r="F5" s="100" t="s">
        <v>13</v>
      </c>
      <c r="G5" s="269">
        <f>IF(ISNUMBER(DATA!G12),DATA!G12,"")</f>
        <v>8</v>
      </c>
      <c r="H5" s="15" t="str">
        <f>testo!B6</f>
        <v>JAMO OUTLET</v>
      </c>
      <c r="I5" s="305">
        <v>13</v>
      </c>
      <c r="J5" s="41">
        <f>IF(K3,K5,1)</f>
        <v>1</v>
      </c>
      <c r="K5" s="42">
        <v>1</v>
      </c>
      <c r="L5" s="8" t="str">
        <f>INDEX(calcolo!V6:AA9,MATCH(J5,calcolo!AD6:AD9,0),1)</f>
        <v>JAMO OUTLET</v>
      </c>
      <c r="M5" s="43">
        <f>INDEX(calcolo!V6:AA9,MATCH(J5,calcolo!AD6:AD9,0),2)</f>
        <v>3</v>
      </c>
      <c r="N5" s="44">
        <f>INDEX(calcolo!V6:AA9,MATCH(J5,calcolo!AD6:AD9,0),3)</f>
        <v>9</v>
      </c>
      <c r="O5" s="43">
        <f>INDEX(calcolo!V6:AA9,MATCH(J5,calcolo!AD6:AD9,0),4)</f>
        <v>18</v>
      </c>
      <c r="P5" s="43">
        <f>INDEX(calcolo!V6:AA9,MATCH(J5,calcolo!AD6:AD9,0),5)</f>
        <v>8</v>
      </c>
      <c r="Q5" s="43">
        <f>INDEX(calcolo!V6:AA9,MATCH(J5,calcolo!AD6:AD9,0),6)</f>
        <v>10</v>
      </c>
    </row>
    <row r="6" spans="1:17" ht="15.75" customHeight="1">
      <c r="A6" s="348"/>
      <c r="B6" s="37">
        <v>39637</v>
      </c>
      <c r="C6" s="38">
        <v>0.875</v>
      </c>
      <c r="D6" s="39" t="str">
        <f>testo!B3</f>
        <v>AGENZIA BIONDINI</v>
      </c>
      <c r="E6" s="269">
        <f>IF(ISNUMBER(DATA!E13),DATA!E13,"")</f>
        <v>8</v>
      </c>
      <c r="F6" s="100" t="s">
        <v>13</v>
      </c>
      <c r="G6" s="269">
        <f>IF(ISNUMBER(DATA!G13),DATA!G13,"")</f>
        <v>1</v>
      </c>
      <c r="H6" s="15" t="str">
        <f>testo!B5</f>
        <v>AUDAX FORLIVESE</v>
      </c>
      <c r="I6" s="305">
        <v>17</v>
      </c>
      <c r="J6" s="41">
        <f>IF(K3,K6,2)</f>
        <v>2</v>
      </c>
      <c r="K6" s="42">
        <v>2</v>
      </c>
      <c r="L6" s="8" t="str">
        <f>INDEX(calcolo!V6:AA9,MATCH(J6,calcolo!AD6:AD9,0),1)</f>
        <v>AGENZIA BIONDINI</v>
      </c>
      <c r="M6" s="43">
        <f>INDEX(calcolo!V6:AA9,MATCH(J6,calcolo!AD6:AD9,0),2)</f>
        <v>3</v>
      </c>
      <c r="N6" s="44">
        <f>INDEX(calcolo!V6:AA9,MATCH(J6,calcolo!AD6:AD9,0),3)</f>
        <v>6</v>
      </c>
      <c r="O6" s="43">
        <f>INDEX(calcolo!V6:AA9,MATCH(J6,calcolo!AD6:AD9,0),4)</f>
        <v>19</v>
      </c>
      <c r="P6" s="43">
        <f>INDEX(calcolo!V6:AA9,MATCH(J6,calcolo!AD6:AD9,0),5)</f>
        <v>9</v>
      </c>
      <c r="Q6" s="43">
        <f>INDEX(calcolo!V6:AA9,MATCH(J6,calcolo!AD6:AD9,0),6)</f>
        <v>10</v>
      </c>
    </row>
    <row r="7" spans="1:17" ht="15.75" customHeight="1">
      <c r="A7" s="348"/>
      <c r="B7" s="37">
        <v>39643</v>
      </c>
      <c r="C7" s="38">
        <v>0.875</v>
      </c>
      <c r="D7" s="39" t="str">
        <f>testo!B3</f>
        <v>AGENZIA BIONDINI</v>
      </c>
      <c r="E7" s="269">
        <f>IF(ISNUMBER(DATA!E19),DATA!E19,"")</f>
        <v>3</v>
      </c>
      <c r="F7" s="100" t="s">
        <v>13</v>
      </c>
      <c r="G7" s="269">
        <f>IF(ISNUMBER(DATA!G19),DATA!G19,"")</f>
        <v>4</v>
      </c>
      <c r="H7" s="15" t="str">
        <f>testo!B6</f>
        <v>JAMO OUTLET</v>
      </c>
      <c r="I7" s="305">
        <v>21</v>
      </c>
      <c r="J7" s="41">
        <f>IF(K3,K7,3)</f>
        <v>3</v>
      </c>
      <c r="K7" s="42">
        <v>3</v>
      </c>
      <c r="L7" s="8" t="str">
        <f>INDEX(calcolo!V6:AA9,MATCH(J7,calcolo!AD6:AD9,0),1)</f>
        <v>AUDAX FORLIVESE</v>
      </c>
      <c r="M7" s="45">
        <f>INDEX(calcolo!V6:AA9,MATCH(J7,calcolo!AD6:AD9,0),2)</f>
        <v>3</v>
      </c>
      <c r="N7" s="46">
        <f>INDEX(calcolo!V6:AA9,MATCH(J7,calcolo!AD6:AD9,0),3)</f>
        <v>3</v>
      </c>
      <c r="O7" s="45">
        <f>INDEX(calcolo!V6:AA9,MATCH(J7,calcolo!AD6:AD9,0),4)</f>
        <v>9</v>
      </c>
      <c r="P7" s="45">
        <f>INDEX(calcolo!V6:AA9,MATCH(J7,calcolo!AD6:AD9,0),5)</f>
        <v>17</v>
      </c>
      <c r="Q7" s="45">
        <f>INDEX(calcolo!V6:AA9,MATCH(J7,calcolo!AD6:AD9,0),6)</f>
        <v>-8</v>
      </c>
    </row>
    <row r="8" spans="1:17" ht="15.75" customHeight="1" thickBot="1">
      <c r="A8" s="349"/>
      <c r="B8" s="47">
        <v>39643</v>
      </c>
      <c r="C8" s="48">
        <v>0.9166666666666666</v>
      </c>
      <c r="D8" s="49" t="str">
        <f>testo!B4</f>
        <v>BAGNOLO BARDI COSTR.</v>
      </c>
      <c r="E8" s="268">
        <f>IF(ISNUMBER(DATA!E20),DATA!E20,"")</f>
        <v>3</v>
      </c>
      <c r="F8" s="98" t="s">
        <v>13</v>
      </c>
      <c r="G8" s="268">
        <f>IF(ISNUMBER(DATA!G20),DATA!G20,"")</f>
        <v>4</v>
      </c>
      <c r="H8" s="50" t="str">
        <f>testo!B5</f>
        <v>AUDAX FORLIVESE</v>
      </c>
      <c r="I8" s="306">
        <v>23</v>
      </c>
      <c r="J8" s="51">
        <f>IF(K3,K8,4)</f>
        <v>4</v>
      </c>
      <c r="K8" s="52">
        <v>4</v>
      </c>
      <c r="L8" s="53" t="str">
        <f>INDEX(calcolo!V6:AA9,MATCH(J8,calcolo!AD6:AD9,0),1)</f>
        <v>BAGNOLO BARDI COSTR.</v>
      </c>
      <c r="M8" s="20">
        <f>INDEX(calcolo!V6:AA9,MATCH(J8,calcolo!AD6:AD9,0),2)</f>
        <v>3</v>
      </c>
      <c r="N8" s="21">
        <f>INDEX(calcolo!V6:AA9,MATCH(J8,calcolo!AD6:AD9,0),3)</f>
        <v>0</v>
      </c>
      <c r="O8" s="20">
        <f>INDEX(calcolo!V6:AA9,MATCH(J8,calcolo!AD6:AD9,0),4)</f>
        <v>8</v>
      </c>
      <c r="P8" s="20">
        <f>INDEX(calcolo!V6:AA9,MATCH(J8,calcolo!AD6:AD9,0),5)</f>
        <v>20</v>
      </c>
      <c r="Q8" s="20">
        <f>INDEX(calcolo!V6:AA9,MATCH(J8,calcolo!AD6:AD9,0),6)</f>
        <v>-12</v>
      </c>
    </row>
    <row r="9" spans="1:17" ht="15" customHeight="1">
      <c r="A9" s="351" t="s">
        <v>14</v>
      </c>
      <c r="B9" s="286">
        <v>39629</v>
      </c>
      <c r="C9" s="54">
        <v>0.9166666666666666</v>
      </c>
      <c r="D9" s="39" t="str">
        <f>testo!B13</f>
        <v>LEONI DI SAN MARCO</v>
      </c>
      <c r="E9" s="269">
        <f>IF(ISNUMBER(DATA!E4),DATA!E4,"")</f>
        <v>3</v>
      </c>
      <c r="F9" s="100" t="s">
        <v>13</v>
      </c>
      <c r="G9" s="269">
        <f>IF(ISNUMBER(DATA!G4),DATA!G4,"")</f>
        <v>15</v>
      </c>
      <c r="H9" s="15" t="str">
        <f>testo!B14</f>
        <v>EFFEDI SALOTTI</v>
      </c>
      <c r="I9" s="305">
        <v>6</v>
      </c>
      <c r="J9" s="55"/>
      <c r="K9" s="56" t="b">
        <f>(calcolo!AD10=testo!B$73)</f>
        <v>0</v>
      </c>
      <c r="L9" s="354" t="s">
        <v>14</v>
      </c>
      <c r="M9" s="57"/>
      <c r="N9" s="58"/>
      <c r="O9" s="57"/>
      <c r="P9" s="57"/>
      <c r="Q9" s="57"/>
    </row>
    <row r="10" spans="1:17" ht="15.75" customHeight="1">
      <c r="A10" s="352"/>
      <c r="B10" s="37">
        <v>39630</v>
      </c>
      <c r="C10" s="38">
        <v>0.9166666666666666</v>
      </c>
      <c r="D10" s="39" t="str">
        <f>testo!B11</f>
        <v>REAL PROMALCOOLICA</v>
      </c>
      <c r="E10" s="269">
        <f>IF(ISNUMBER(DATA!E6),DATA!E6,"")</f>
        <v>11</v>
      </c>
      <c r="F10" s="100" t="s">
        <v>13</v>
      </c>
      <c r="G10" s="269">
        <f>IF(ISNUMBER(DATA!G6),DATA!G6,"")</f>
        <v>1</v>
      </c>
      <c r="H10" s="15" t="str">
        <f>testo!B12</f>
        <v>D.L. COSTRUZIONI 2000</v>
      </c>
      <c r="I10" s="305">
        <v>10</v>
      </c>
      <c r="J10" s="55"/>
      <c r="K10" s="56"/>
      <c r="L10" s="354"/>
      <c r="M10" s="9" t="str">
        <f>calcolo!W15</f>
        <v>P</v>
      </c>
      <c r="N10" s="10" t="str">
        <f>calcolo!X15</f>
        <v>Pt</v>
      </c>
      <c r="O10" s="9" t="str">
        <f>calcolo!Y15</f>
        <v>GF</v>
      </c>
      <c r="P10" s="9" t="str">
        <f>calcolo!Z15</f>
        <v>GS</v>
      </c>
      <c r="Q10" s="9" t="str">
        <f>calcolo!AA15</f>
        <v>DR</v>
      </c>
    </row>
    <row r="11" spans="1:17" ht="15.75" customHeight="1">
      <c r="A11" s="352"/>
      <c r="B11" s="37">
        <v>39636</v>
      </c>
      <c r="C11" s="38">
        <v>0.875</v>
      </c>
      <c r="D11" s="39" t="str">
        <f>testo!B12</f>
        <v>D.L. COSTRUZIONI 2000</v>
      </c>
      <c r="E11" s="269">
        <f>IF(ISNUMBER(DATA!E11),DATA!E11,"")</f>
        <v>1</v>
      </c>
      <c r="F11" s="100" t="s">
        <v>13</v>
      </c>
      <c r="G11" s="269">
        <f>IF(ISNUMBER(DATA!G11),DATA!G11,"")</f>
        <v>8</v>
      </c>
      <c r="H11" s="15" t="str">
        <f>testo!B14</f>
        <v>EFFEDI SALOTTI</v>
      </c>
      <c r="I11" s="305">
        <v>14</v>
      </c>
      <c r="J11" s="55">
        <f>IF(K9,K11,1)</f>
        <v>1</v>
      </c>
      <c r="K11" s="59">
        <v>1</v>
      </c>
      <c r="L11" s="11" t="str">
        <f>INDEX(calcolo!V16:AA19,MATCH(J11,calcolo!AD16:AD19,0),1)</f>
        <v>EFFEDI SALOTTI</v>
      </c>
      <c r="M11" s="43">
        <f>INDEX(calcolo!V16:AA19,MATCH(J11,calcolo!AD16:AD19,0),2)</f>
        <v>3</v>
      </c>
      <c r="N11" s="44">
        <f>INDEX(calcolo!V16:AA19,MATCH(J11,calcolo!AD16:AD19,0),3)</f>
        <v>9</v>
      </c>
      <c r="O11" s="43">
        <f>INDEX(calcolo!V16:AA19,MATCH(J11,calcolo!AD16:AD19,0),4)</f>
        <v>28</v>
      </c>
      <c r="P11" s="43">
        <f>INDEX(calcolo!V16:AA19,MATCH(J11,calcolo!AD16:AD19,0),5)</f>
        <v>7</v>
      </c>
      <c r="Q11" s="43">
        <f>INDEX(calcolo!V16:AA19,MATCH(J11,calcolo!AD16:AD19,0),6)</f>
        <v>21</v>
      </c>
    </row>
    <row r="12" spans="1:17" ht="15.75" customHeight="1">
      <c r="A12" s="352"/>
      <c r="B12" s="37">
        <v>39639</v>
      </c>
      <c r="C12" s="38">
        <v>0.875</v>
      </c>
      <c r="D12" s="39" t="str">
        <f>testo!B11</f>
        <v>REAL PROMALCOOLICA</v>
      </c>
      <c r="E12" s="269">
        <f>IF(ISNUMBER(DATA!E17),DATA!E17,"")</f>
        <v>6</v>
      </c>
      <c r="F12" s="100" t="s">
        <v>13</v>
      </c>
      <c r="G12" s="269">
        <f>IF(ISNUMBER(DATA!G17),DATA!G17,"")</f>
        <v>3</v>
      </c>
      <c r="H12" s="15" t="str">
        <f>testo!B13</f>
        <v>LEONI DI SAN MARCO</v>
      </c>
      <c r="I12" s="305">
        <v>18</v>
      </c>
      <c r="J12" s="55">
        <f>IF(K9,K12,2)</f>
        <v>2</v>
      </c>
      <c r="K12" s="59">
        <v>2</v>
      </c>
      <c r="L12" s="11" t="str">
        <f>INDEX(calcolo!V16:AA19,MATCH(J12,calcolo!AD16:AD19,0),1)</f>
        <v>REAL PROMALCOOLICA</v>
      </c>
      <c r="M12" s="45">
        <f>INDEX(calcolo!V16:AA19,MATCH(J12,calcolo!AD16:AD19,0),2)</f>
        <v>3</v>
      </c>
      <c r="N12" s="46">
        <f>INDEX(calcolo!V16:AA19,MATCH(J12,calcolo!AD16:AD19,0),3)</f>
        <v>6</v>
      </c>
      <c r="O12" s="45">
        <f>INDEX(calcolo!V16:AA19,MATCH(J12,calcolo!AD16:AD19,0),4)</f>
        <v>20</v>
      </c>
      <c r="P12" s="45">
        <f>INDEX(calcolo!V16:AA19,MATCH(J12,calcolo!AD16:AD19,0),5)</f>
        <v>9</v>
      </c>
      <c r="Q12" s="45">
        <f>INDEX(calcolo!V16:AA19,MATCH(J12,calcolo!AD16:AD19,0),6)</f>
        <v>11</v>
      </c>
    </row>
    <row r="13" spans="1:17" ht="15.75" customHeight="1">
      <c r="A13" s="352"/>
      <c r="B13" s="37">
        <v>39644</v>
      </c>
      <c r="C13" s="38">
        <v>0.875</v>
      </c>
      <c r="D13" s="39" t="str">
        <f>testo!B11</f>
        <v>REAL PROMALCOOLICA</v>
      </c>
      <c r="E13" s="269">
        <f>IF(ISNUMBER(DATA!E21),DATA!E21,"")</f>
        <v>3</v>
      </c>
      <c r="F13" s="100" t="s">
        <v>13</v>
      </c>
      <c r="G13" s="269">
        <f>IF(ISNUMBER(DATA!G21),DATA!G21,"")</f>
        <v>5</v>
      </c>
      <c r="H13" s="15" t="str">
        <f>testo!B14</f>
        <v>EFFEDI SALOTTI</v>
      </c>
      <c r="I13" s="305">
        <v>22</v>
      </c>
      <c r="J13" s="55">
        <f>IF(K9,K13,3)</f>
        <v>3</v>
      </c>
      <c r="K13" s="59">
        <v>3</v>
      </c>
      <c r="L13" s="11" t="str">
        <f>INDEX(calcolo!V16:AA19,MATCH(J13,calcolo!AD16:AD19,0),1)</f>
        <v>D.L. COSTRUZIONI 2000</v>
      </c>
      <c r="M13" s="45">
        <f>INDEX(calcolo!V16:AA19,MATCH(J13,calcolo!AD16:AD19,0),2)</f>
        <v>3</v>
      </c>
      <c r="N13" s="46">
        <f>INDEX(calcolo!V16:AA19,MATCH(J13,calcolo!AD16:AD19,0),3)</f>
        <v>3</v>
      </c>
      <c r="O13" s="45">
        <f>INDEX(calcolo!V16:AA19,MATCH(J13,calcolo!AD16:AD19,0),4)</f>
        <v>17</v>
      </c>
      <c r="P13" s="45">
        <f>INDEX(calcolo!V16:AA19,MATCH(J13,calcolo!AD16:AD19,0),5)</f>
        <v>27</v>
      </c>
      <c r="Q13" s="45">
        <f>INDEX(calcolo!V16:AA19,MATCH(J13,calcolo!AD16:AD19,0),6)</f>
        <v>-10</v>
      </c>
    </row>
    <row r="14" spans="1:17" ht="15.75" customHeight="1" thickBot="1">
      <c r="A14" s="353"/>
      <c r="B14" s="47">
        <v>39646</v>
      </c>
      <c r="C14" s="48">
        <v>0.9166666666666666</v>
      </c>
      <c r="D14" s="49" t="str">
        <f>testo!B12</f>
        <v>D.L. COSTRUZIONI 2000</v>
      </c>
      <c r="E14" s="268">
        <f>IF(ISNUMBER(DATA!E26),DATA!E26,"")</f>
        <v>15</v>
      </c>
      <c r="F14" s="98" t="s">
        <v>13</v>
      </c>
      <c r="G14" s="268">
        <f>IF(ISNUMBER(DATA!G26),DATA!G26,"")</f>
        <v>8</v>
      </c>
      <c r="H14" s="50" t="str">
        <f>testo!B13</f>
        <v>LEONI DI SAN MARCO</v>
      </c>
      <c r="I14" s="306">
        <v>2</v>
      </c>
      <c r="J14" s="55">
        <f>IF(K9,K14,4)</f>
        <v>4</v>
      </c>
      <c r="K14" s="60">
        <v>4</v>
      </c>
      <c r="L14" s="61" t="str">
        <f>INDEX(calcolo!V16:AA19,MATCH(J14,calcolo!AD16:AD19,0),1)</f>
        <v>LEONI DI SAN MARCO</v>
      </c>
      <c r="M14" s="20">
        <f>INDEX(calcolo!V16:AA19,MATCH(J14,calcolo!AD16:AD19,0),2)</f>
        <v>3</v>
      </c>
      <c r="N14" s="21">
        <f>INDEX(calcolo!V16:AA19,MATCH(J14,calcolo!AD16:AD19,0),3)</f>
        <v>0</v>
      </c>
      <c r="O14" s="20">
        <f>INDEX(calcolo!V16:AA19,MATCH(J14,calcolo!AD16:AD19,0),4)</f>
        <v>14</v>
      </c>
      <c r="P14" s="20">
        <f>INDEX(calcolo!V16:AA19,MATCH(J14,calcolo!AD16:AD19,0),5)</f>
        <v>36</v>
      </c>
      <c r="Q14" s="20">
        <f>INDEX(calcolo!V16:AA19,MATCH(J14,calcolo!AD16:AD19,0),6)</f>
        <v>-22</v>
      </c>
    </row>
    <row r="15" spans="1:17" ht="15.75" customHeight="1">
      <c r="A15" s="331" t="s">
        <v>12</v>
      </c>
      <c r="B15" s="62">
        <v>39632</v>
      </c>
      <c r="C15" s="54">
        <v>0.875</v>
      </c>
      <c r="D15" s="63" t="str">
        <f>testo!B21</f>
        <v>ROSSI SRL</v>
      </c>
      <c r="E15" s="269">
        <f>IF(ISNUMBER(DATA!E9),DATA!E9,"")</f>
        <v>2</v>
      </c>
      <c r="F15" s="100" t="s">
        <v>13</v>
      </c>
      <c r="G15" s="269">
        <f>IF(ISNUMBER(DATA!G9),DATA!G9,"")</f>
        <v>5</v>
      </c>
      <c r="H15" s="64" t="str">
        <f>testo!B22</f>
        <v>DE STEFANI</v>
      </c>
      <c r="I15" s="307">
        <v>7</v>
      </c>
      <c r="J15" s="65"/>
      <c r="K15" s="66" t="b">
        <f>(calcolo!AD10=testo!B$73)</f>
        <v>0</v>
      </c>
      <c r="L15" s="334" t="s">
        <v>12</v>
      </c>
      <c r="M15" s="67"/>
      <c r="N15" s="67"/>
      <c r="O15" s="67"/>
      <c r="P15" s="67"/>
      <c r="Q15" s="67"/>
    </row>
    <row r="16" spans="1:17" ht="15.75" customHeight="1">
      <c r="A16" s="332"/>
      <c r="B16" s="37">
        <v>39632</v>
      </c>
      <c r="C16" s="38">
        <v>0.9166666666666666</v>
      </c>
      <c r="D16" s="39" t="str">
        <f>testo!B19</f>
        <v>HAPPY DAYS</v>
      </c>
      <c r="E16" s="269">
        <f>IF(ISNUMBER(DATA!E10),DATA!E10,"")</f>
        <v>1</v>
      </c>
      <c r="F16" s="100" t="s">
        <v>13</v>
      </c>
      <c r="G16" s="269">
        <f>IF(ISNUMBER(DATA!G10),DATA!G10,"")</f>
        <v>5</v>
      </c>
      <c r="H16" s="15" t="str">
        <f>testo!B20</f>
        <v>VILLA PARK</v>
      </c>
      <c r="I16" s="305">
        <v>11</v>
      </c>
      <c r="J16" s="68"/>
      <c r="K16" s="69"/>
      <c r="L16" s="334"/>
      <c r="M16" s="12" t="str">
        <f>calcolo!W26</f>
        <v>P</v>
      </c>
      <c r="N16" s="13" t="str">
        <f>calcolo!X26</f>
        <v>Pt</v>
      </c>
      <c r="O16" s="12" t="str">
        <f>calcolo!Y26</f>
        <v>GF</v>
      </c>
      <c r="P16" s="12" t="str">
        <f>calcolo!Z26</f>
        <v>GS</v>
      </c>
      <c r="Q16" s="12" t="str">
        <f>calcolo!AA26</f>
        <v>DR</v>
      </c>
    </row>
    <row r="17" spans="1:17" ht="15.75" customHeight="1">
      <c r="A17" s="332"/>
      <c r="B17" s="37">
        <v>39638</v>
      </c>
      <c r="C17" s="38">
        <v>0.875</v>
      </c>
      <c r="D17" s="39" t="str">
        <f>testo!B22</f>
        <v>DE STEFANI</v>
      </c>
      <c r="E17" s="269">
        <f>IF(ISNUMBER(DATA!E15),DATA!E15,"")</f>
        <v>3</v>
      </c>
      <c r="F17" s="100" t="s">
        <v>13</v>
      </c>
      <c r="G17" s="269">
        <f>IF(ISNUMBER(DATA!G15),DATA!G15,"")</f>
        <v>4</v>
      </c>
      <c r="H17" s="15" t="str">
        <f>testo!B20</f>
        <v>VILLA PARK</v>
      </c>
      <c r="I17" s="305">
        <v>15</v>
      </c>
      <c r="J17" s="68">
        <f>IF(K15,K17,1)</f>
        <v>1</v>
      </c>
      <c r="K17" s="70">
        <v>1</v>
      </c>
      <c r="L17" s="14" t="str">
        <f>INDEX(calcolo!V27:AA30,MATCH(J17,calcolo!AD27:AD30,0),1)</f>
        <v>VILLA PARK</v>
      </c>
      <c r="M17" s="43">
        <f>INDEX(calcolo!V27:AA30,MATCH(J17,calcolo!AD27:AD30,0),2)</f>
        <v>3</v>
      </c>
      <c r="N17" s="44">
        <f>INDEX(calcolo!V27:AA30,MATCH(J17,calcolo!AD27:AD30,0),3)</f>
        <v>9</v>
      </c>
      <c r="O17" s="43">
        <f>INDEX(calcolo!V27:AA30,MATCH(J17,calcolo!AD27:AD30,0),4)</f>
        <v>13</v>
      </c>
      <c r="P17" s="43">
        <f>INDEX(calcolo!V27:AA30,MATCH(J17,calcolo!AD27:AD30,0),5)</f>
        <v>4</v>
      </c>
      <c r="Q17" s="43">
        <f>INDEX(calcolo!V27:AA30,MATCH(J17,calcolo!AD27:AD30,0),6)</f>
        <v>9</v>
      </c>
    </row>
    <row r="18" spans="1:17" ht="15.75" customHeight="1">
      <c r="A18" s="332"/>
      <c r="B18" s="37">
        <v>39638</v>
      </c>
      <c r="C18" s="38">
        <v>0.9166666666666666</v>
      </c>
      <c r="D18" s="39" t="str">
        <f>testo!B19</f>
        <v>HAPPY DAYS</v>
      </c>
      <c r="E18" s="269">
        <f>IF(ISNUMBER(DATA!E16),DATA!E16,"")</f>
        <v>13</v>
      </c>
      <c r="F18" s="100" t="s">
        <v>13</v>
      </c>
      <c r="G18" s="269">
        <f>IF(ISNUMBER(DATA!G16),DATA!G16,"")</f>
        <v>1</v>
      </c>
      <c r="H18" s="15" t="str">
        <f>testo!B21</f>
        <v>ROSSI SRL</v>
      </c>
      <c r="I18" s="305">
        <v>19</v>
      </c>
      <c r="J18" s="68">
        <f>IF(K15,K18,2)</f>
        <v>2</v>
      </c>
      <c r="K18" s="70">
        <v>2</v>
      </c>
      <c r="L18" s="14" t="str">
        <f>INDEX(calcolo!V27:AA30,MATCH(J18,calcolo!AD27:AD30,0),1)</f>
        <v>HAPPY DAYS</v>
      </c>
      <c r="M18" s="45">
        <f>INDEX(calcolo!V27:AA30,MATCH(J18,calcolo!AD27:AD30,0),2)</f>
        <v>3</v>
      </c>
      <c r="N18" s="46">
        <f>INDEX(calcolo!V27:AA30,MATCH(J18,calcolo!AD27:AD30,0),3)</f>
        <v>6</v>
      </c>
      <c r="O18" s="45">
        <f>INDEX(calcolo!V27:AA30,MATCH(J18,calcolo!AD27:AD30,0),4)</f>
        <v>19</v>
      </c>
      <c r="P18" s="45">
        <f>INDEX(calcolo!V27:AA30,MATCH(J18,calcolo!AD27:AD30,0),5)</f>
        <v>10</v>
      </c>
      <c r="Q18" s="45">
        <f>INDEX(calcolo!V27:AA30,MATCH(J18,calcolo!AD27:AD30,0),6)</f>
        <v>9</v>
      </c>
    </row>
    <row r="19" spans="1:17" ht="15.75" customHeight="1">
      <c r="A19" s="332"/>
      <c r="B19" s="37">
        <v>39645</v>
      </c>
      <c r="C19" s="38">
        <v>0.875</v>
      </c>
      <c r="D19" s="39" t="str">
        <f>testo!B19</f>
        <v>HAPPY DAYS</v>
      </c>
      <c r="E19" s="269">
        <f>IF(ISNUMBER(DATA!E23),DATA!E23,"")</f>
        <v>5</v>
      </c>
      <c r="F19" s="100" t="s">
        <v>13</v>
      </c>
      <c r="G19" s="269">
        <f>IF(ISNUMBER(DATA!G23),DATA!G23,"")</f>
        <v>4</v>
      </c>
      <c r="H19" s="71" t="str">
        <f>testo!B22</f>
        <v>DE STEFANI</v>
      </c>
      <c r="I19" s="305">
        <v>1</v>
      </c>
      <c r="J19" s="68">
        <f>IF(K15,K19,3)</f>
        <v>3</v>
      </c>
      <c r="K19" s="70">
        <v>3</v>
      </c>
      <c r="L19" s="14" t="str">
        <f>INDEX(calcolo!V27:AA30,MATCH(J19,calcolo!AD27:AD30,0),1)</f>
        <v>DE STEFANI</v>
      </c>
      <c r="M19" s="45">
        <f>INDEX(calcolo!V27:AA30,MATCH(J19,calcolo!AD27:AD30,0),2)</f>
        <v>3</v>
      </c>
      <c r="N19" s="46">
        <f>INDEX(calcolo!V27:AA30,MATCH(J19,calcolo!AD27:AD30,0),3)</f>
        <v>3</v>
      </c>
      <c r="O19" s="45">
        <f>INDEX(calcolo!V27:AA30,MATCH(J19,calcolo!AD27:AD30,0),4)</f>
        <v>12</v>
      </c>
      <c r="P19" s="45">
        <f>INDEX(calcolo!V27:AA30,MATCH(J19,calcolo!AD27:AD30,0),5)</f>
        <v>11</v>
      </c>
      <c r="Q19" s="45">
        <f>INDEX(calcolo!V27:AA30,MATCH(J19,calcolo!AD27:AD30,0),6)</f>
        <v>1</v>
      </c>
    </row>
    <row r="20" spans="1:17" ht="15.75" customHeight="1" thickBot="1">
      <c r="A20" s="333"/>
      <c r="B20" s="47">
        <v>39645</v>
      </c>
      <c r="C20" s="48">
        <v>0.9166666666666666</v>
      </c>
      <c r="D20" s="49" t="str">
        <f>testo!B20</f>
        <v>VILLA PARK</v>
      </c>
      <c r="E20" s="268">
        <f>IF(ISNUMBER(DATA!E24),DATA!E24,"")</f>
        <v>4</v>
      </c>
      <c r="F20" s="98" t="s">
        <v>13</v>
      </c>
      <c r="G20" s="268">
        <f>IF(ISNUMBER(DATA!G24),DATA!G24,"")</f>
        <v>0</v>
      </c>
      <c r="H20" s="50" t="str">
        <f>testo!B21</f>
        <v>ROSSI SRL</v>
      </c>
      <c r="I20" s="306">
        <v>3</v>
      </c>
      <c r="J20" s="72">
        <f>IF(K15,K20,4)</f>
        <v>4</v>
      </c>
      <c r="K20" s="73">
        <v>4</v>
      </c>
      <c r="L20" s="74" t="str">
        <f>INDEX(calcolo!V27:AA30,MATCH(J20,calcolo!AD27:AD30,0),1)</f>
        <v>ROSSI SRL</v>
      </c>
      <c r="M20" s="20">
        <f>INDEX(calcolo!V27:AA30,MATCH(J20,calcolo!AD27:AD30,0),2)</f>
        <v>3</v>
      </c>
      <c r="N20" s="46">
        <f>INDEX(calcolo!V27:AA30,MATCH(J20,calcolo!AD27:AD30,0),3)</f>
        <v>0</v>
      </c>
      <c r="O20" s="20">
        <f>INDEX(calcolo!V27:AA30,MATCH(J20,calcolo!AD27:AD30,0),4)</f>
        <v>3</v>
      </c>
      <c r="P20" s="20">
        <f>INDEX(calcolo!V27:AA30,MATCH(J20,calcolo!AD27:AD30,0),5)</f>
        <v>22</v>
      </c>
      <c r="Q20" s="20">
        <f>INDEX(calcolo!V27:AA30,MATCH(J20,calcolo!AD27:AD30,0),6)</f>
        <v>-19</v>
      </c>
    </row>
    <row r="21" spans="1:17" ht="15.75" customHeight="1">
      <c r="A21" s="335" t="s">
        <v>15</v>
      </c>
      <c r="B21" s="62">
        <v>39631</v>
      </c>
      <c r="C21" s="54">
        <v>0.875</v>
      </c>
      <c r="D21" s="63" t="str">
        <f>testo!B27</f>
        <v>TRIAL</v>
      </c>
      <c r="E21" s="269">
        <f>IF(ISNUMBER(DATA!E7),DATA!E7,"")</f>
        <v>16</v>
      </c>
      <c r="F21" s="100" t="s">
        <v>13</v>
      </c>
      <c r="G21" s="269">
        <f>IF(ISNUMBER(DATA!G7),DATA!G7,"")</f>
        <v>0</v>
      </c>
      <c r="H21" s="64" t="str">
        <f>testo!B28</f>
        <v>CARROZZERIA FORLIVESE</v>
      </c>
      <c r="I21" s="307">
        <v>8</v>
      </c>
      <c r="J21" s="75"/>
      <c r="K21" s="76" t="b">
        <f>(calcolo!AD42=testo!B$73)</f>
        <v>0</v>
      </c>
      <c r="L21" s="338" t="s">
        <v>15</v>
      </c>
      <c r="M21" s="77"/>
      <c r="N21" s="78"/>
      <c r="O21" s="77"/>
      <c r="P21" s="77"/>
      <c r="Q21" s="77"/>
    </row>
    <row r="22" spans="1:17" ht="15.75" customHeight="1">
      <c r="A22" s="336"/>
      <c r="B22" s="37">
        <v>39631</v>
      </c>
      <c r="C22" s="38">
        <v>0.9166666666666666</v>
      </c>
      <c r="D22" s="39" t="str">
        <f>testo!B29</f>
        <v>CTR</v>
      </c>
      <c r="E22" s="269">
        <f>IF(ISNUMBER(DATA!E8),DATA!E8,"")</f>
        <v>3</v>
      </c>
      <c r="F22" s="100" t="s">
        <v>13</v>
      </c>
      <c r="G22" s="269">
        <f>IF(ISNUMBER(DATA!G8),DATA!G8,"")</f>
        <v>9</v>
      </c>
      <c r="H22" s="15" t="str">
        <f>testo!B30</f>
        <v>CAFFE FARINI</v>
      </c>
      <c r="I22" s="305">
        <v>12</v>
      </c>
      <c r="J22" s="79"/>
      <c r="K22" s="80"/>
      <c r="L22" s="338"/>
      <c r="M22" s="16" t="str">
        <f>calcolo!W37</f>
        <v>P</v>
      </c>
      <c r="N22" s="17" t="str">
        <f>calcolo!X37</f>
        <v>Pt</v>
      </c>
      <c r="O22" s="16" t="str">
        <f>calcolo!Y37</f>
        <v>GF</v>
      </c>
      <c r="P22" s="16" t="str">
        <f>calcolo!Z37</f>
        <v>GS</v>
      </c>
      <c r="Q22" s="16" t="str">
        <f>calcolo!AA37</f>
        <v>DR</v>
      </c>
    </row>
    <row r="23" spans="1:17" ht="15.75" customHeight="1">
      <c r="A23" s="336"/>
      <c r="B23" s="37">
        <v>39637</v>
      </c>
      <c r="C23" s="38">
        <v>0.9166666666666666</v>
      </c>
      <c r="D23" s="39" t="str">
        <f>testo!B28</f>
        <v>CARROZZERIA FORLIVESE</v>
      </c>
      <c r="E23" s="269">
        <f>IF(ISNUMBER(DATA!E14),DATA!E14,"")</f>
        <v>0</v>
      </c>
      <c r="F23" s="100" t="s">
        <v>13</v>
      </c>
      <c r="G23" s="269">
        <f>IF(ISNUMBER(DATA!G14),DATA!G14,"")</f>
        <v>7</v>
      </c>
      <c r="H23" s="15" t="str">
        <f>testo!B30</f>
        <v>CAFFE FARINI</v>
      </c>
      <c r="I23" s="305">
        <v>16</v>
      </c>
      <c r="J23" s="79">
        <f>IF(K21,K23,1)</f>
        <v>1</v>
      </c>
      <c r="K23" s="80">
        <v>1</v>
      </c>
      <c r="L23" s="18" t="str">
        <f>INDEX(calcolo!V38:AA41,MATCH(J23,calcolo!AD38:AD41,0),1)</f>
        <v>TRIAL</v>
      </c>
      <c r="M23" s="43">
        <f>INDEX(calcolo!V38:AA41,MATCH(J23,calcolo!AD38:AD41,0),2)</f>
        <v>3</v>
      </c>
      <c r="N23" s="44">
        <f>INDEX(calcolo!V38:AA41,MATCH(J23,calcolo!AD38:AD41,0),3)</f>
        <v>9</v>
      </c>
      <c r="O23" s="43">
        <f>INDEX(calcolo!V38:AA41,MATCH(J23,calcolo!AD38:AD41,0),4)</f>
        <v>38</v>
      </c>
      <c r="P23" s="43">
        <f>INDEX(calcolo!V38:AA41,MATCH(J23,calcolo!AD38:AD41,0),5)</f>
        <v>4</v>
      </c>
      <c r="Q23" s="43">
        <f>INDEX(calcolo!V38:AA41,MATCH(J23,calcolo!AD38:AD41,0),6)</f>
        <v>34</v>
      </c>
    </row>
    <row r="24" spans="1:17" ht="15.75" customHeight="1">
      <c r="A24" s="336"/>
      <c r="B24" s="37">
        <v>39639</v>
      </c>
      <c r="C24" s="38">
        <v>0.9166666666666666</v>
      </c>
      <c r="D24" s="39" t="str">
        <f>testo!B27</f>
        <v>TRIAL</v>
      </c>
      <c r="E24" s="269">
        <f>IF(ISNUMBER(DATA!E18),DATA!E18,"")</f>
        <v>13</v>
      </c>
      <c r="F24" s="100" t="s">
        <v>13</v>
      </c>
      <c r="G24" s="269">
        <f>IF(ISNUMBER(DATA!G18),DATA!G18,"")</f>
        <v>1</v>
      </c>
      <c r="H24" s="15" t="str">
        <f>testo!B29</f>
        <v>CTR</v>
      </c>
      <c r="I24" s="305">
        <v>20</v>
      </c>
      <c r="J24" s="79">
        <f>IF(K21,K24,2)</f>
        <v>2</v>
      </c>
      <c r="K24" s="80">
        <v>2</v>
      </c>
      <c r="L24" s="18" t="str">
        <f>INDEX(calcolo!V38:AA41,MATCH(J24,calcolo!AD38:AD41,0),1)</f>
        <v>CAFFE FARINI</v>
      </c>
      <c r="M24" s="45">
        <f>INDEX(calcolo!V38:AA41,MATCH(J24,calcolo!AD38:AD41,0),2)</f>
        <v>3</v>
      </c>
      <c r="N24" s="46">
        <f>INDEX(calcolo!V38:AA41,MATCH(J24,calcolo!AD38:AD41,0),3)</f>
        <v>6</v>
      </c>
      <c r="O24" s="45">
        <f>INDEX(calcolo!V38:AA41,MATCH(J24,calcolo!AD38:AD41,0),4)</f>
        <v>19</v>
      </c>
      <c r="P24" s="45">
        <f>INDEX(calcolo!V38:AA41,MATCH(J24,calcolo!AD38:AD41,0),5)</f>
        <v>12</v>
      </c>
      <c r="Q24" s="45">
        <f>INDEX(calcolo!V38:AA41,MATCH(J24,calcolo!AD38:AD41,0),6)</f>
        <v>7</v>
      </c>
    </row>
    <row r="25" spans="1:17" ht="15.75" customHeight="1">
      <c r="A25" s="336"/>
      <c r="B25" s="37">
        <v>39644</v>
      </c>
      <c r="C25" s="38">
        <v>0.9166666666666666</v>
      </c>
      <c r="D25" s="39" t="str">
        <f>testo!B27</f>
        <v>TRIAL</v>
      </c>
      <c r="E25" s="269">
        <f>IF(ISNUMBER(DATA!E22),DATA!E22,"")</f>
        <v>9</v>
      </c>
      <c r="F25" s="100" t="s">
        <v>13</v>
      </c>
      <c r="G25" s="269">
        <f>IF(ISNUMBER(DATA!G22),DATA!G22,"")</f>
        <v>3</v>
      </c>
      <c r="H25" s="15" t="str">
        <f>testo!B30</f>
        <v>CAFFE FARINI</v>
      </c>
      <c r="I25" s="305">
        <v>24</v>
      </c>
      <c r="J25" s="79">
        <f>IF(K21,K25,3)</f>
        <v>3</v>
      </c>
      <c r="K25" s="80">
        <v>3</v>
      </c>
      <c r="L25" s="18" t="str">
        <f>INDEX(calcolo!V38:AA41,MATCH(J25,calcolo!AD38:AD41,0),1)</f>
        <v>CTR</v>
      </c>
      <c r="M25" s="45">
        <f>INDEX(calcolo!V38:AA41,MATCH(J25,calcolo!AD38:AD41,0),2)</f>
        <v>3</v>
      </c>
      <c r="N25" s="46">
        <f>INDEX(calcolo!V38:AA41,MATCH(J25,calcolo!AD38:AD41,0),3)</f>
        <v>3</v>
      </c>
      <c r="O25" s="45">
        <f>INDEX(calcolo!V38:AA41,MATCH(J25,calcolo!AD38:AD41,0),4)</f>
        <v>8</v>
      </c>
      <c r="P25" s="45">
        <f>INDEX(calcolo!V38:AA41,MATCH(J25,calcolo!AD38:AD41,0),5)</f>
        <v>22</v>
      </c>
      <c r="Q25" s="45">
        <f>INDEX(calcolo!V38:AA41,MATCH(J25,calcolo!AD38:AD41,0),6)</f>
        <v>-14</v>
      </c>
    </row>
    <row r="26" spans="1:17" ht="16.5" customHeight="1" thickBot="1">
      <c r="A26" s="337"/>
      <c r="B26" s="47">
        <v>39646</v>
      </c>
      <c r="C26" s="48">
        <v>0.875</v>
      </c>
      <c r="D26" s="49" t="str">
        <f>testo!B28</f>
        <v>CARROZZERIA FORLIVESE</v>
      </c>
      <c r="E26" s="268">
        <f>IF(ISNUMBER(DATA!E25),DATA!E25,"")</f>
        <v>0</v>
      </c>
      <c r="F26" s="98" t="s">
        <v>13</v>
      </c>
      <c r="G26" s="268">
        <f>IF(ISNUMBER(DATA!G25),DATA!G25,"")</f>
        <v>4</v>
      </c>
      <c r="H26" s="50" t="str">
        <f>testo!B29</f>
        <v>CTR</v>
      </c>
      <c r="I26" s="306">
        <v>4</v>
      </c>
      <c r="J26" s="81">
        <f>IF(K21,K26,4)</f>
        <v>4</v>
      </c>
      <c r="K26" s="82">
        <v>4</v>
      </c>
      <c r="L26" s="19" t="str">
        <f>INDEX(calcolo!V38:AA41,MATCH(J26,calcolo!AD38:AD41,0),1)</f>
        <v>CARROZZERIA FORLIVESE</v>
      </c>
      <c r="M26" s="20">
        <f>INDEX(calcolo!V38:AA41,MATCH(J26,calcolo!AD38:AD41,0),2)</f>
        <v>3</v>
      </c>
      <c r="N26" s="21">
        <f>INDEX(calcolo!V38:AA41,MATCH(J26,calcolo!AD38:AD41,0),3)</f>
        <v>0</v>
      </c>
      <c r="O26" s="20">
        <f>INDEX(calcolo!V38:AA41,MATCH(J26,calcolo!AD38:AD41,0),4)</f>
        <v>0</v>
      </c>
      <c r="P26" s="20">
        <f>INDEX(calcolo!V38:AA41,MATCH(J26,calcolo!AD38:AD41,0),5)</f>
        <v>27</v>
      </c>
      <c r="Q26" s="20">
        <f>INDEX(calcolo!V38:AA41,MATCH(J26,calcolo!AD38:AD41,0),6)</f>
        <v>-27</v>
      </c>
    </row>
    <row r="27" spans="4:7" ht="15.75">
      <c r="D27" s="86"/>
      <c r="E27" s="269"/>
      <c r="F27" s="100"/>
      <c r="G27" s="269"/>
    </row>
    <row r="28" spans="1:10" ht="15.75">
      <c r="A28" s="343" t="s">
        <v>17</v>
      </c>
      <c r="B28" s="90">
        <v>39650</v>
      </c>
      <c r="C28" s="91">
        <v>0.875</v>
      </c>
      <c r="D28" s="92" t="str">
        <f>IF(calcolo!W10,L5,testo!B84&amp;" "&amp;testo!B86&amp;" A")</f>
        <v>JAMO OUTLET</v>
      </c>
      <c r="E28" s="266">
        <f>IF(ISNUMBER(DATA!E28),DATA!E28,"")</f>
        <v>4</v>
      </c>
      <c r="F28" s="40" t="s">
        <v>13</v>
      </c>
      <c r="G28" s="266">
        <f>IF(ISNUMBER(DATA!G28),DATA!G28,"")</f>
        <v>2</v>
      </c>
      <c r="H28" s="93" t="str">
        <f>IF(calcolo!W20,L12,testo!B85&amp;" "&amp;testo!B86&amp;" B")</f>
        <v>REAL PROMALCOOLICA</v>
      </c>
      <c r="I28" s="309">
        <v>25</v>
      </c>
      <c r="J28" s="29"/>
    </row>
    <row r="29" spans="1:10" ht="15.75">
      <c r="A29" s="344"/>
      <c r="B29" s="37">
        <v>39650</v>
      </c>
      <c r="C29" s="38">
        <v>0.9166666666666666</v>
      </c>
      <c r="D29" s="94" t="str">
        <f>IF(calcolo!W31,L17,testo!B84&amp;" "&amp;testo!B86&amp;" C")</f>
        <v>VILLA PARK</v>
      </c>
      <c r="E29" s="267">
        <f>IF(ISNUMBER(DATA!E29),DATA!E29,"")</f>
        <v>8</v>
      </c>
      <c r="F29" s="95" t="s">
        <v>13</v>
      </c>
      <c r="G29" s="267">
        <f>IF(ISNUMBER(DATA!G29),DATA!G29,"")</f>
        <v>4</v>
      </c>
      <c r="H29" s="96" t="str">
        <f>IF(calcolo!W42,L24,testo!B85&amp;" "&amp;testo!B86&amp;" D")</f>
        <v>CAFFE FARINI</v>
      </c>
      <c r="I29" s="310">
        <v>26</v>
      </c>
      <c r="J29" s="29"/>
    </row>
    <row r="30" spans="1:10" ht="15.75">
      <c r="A30" s="344"/>
      <c r="B30" s="90">
        <v>39651</v>
      </c>
      <c r="C30" s="91">
        <v>0.875</v>
      </c>
      <c r="D30" s="93" t="str">
        <f>IF(calcolo!W20,L11,testo!B84&amp;" "&amp;testo!B86&amp;" B")</f>
        <v>EFFEDI SALOTTI</v>
      </c>
      <c r="E30" s="266">
        <f>IF(ISNUMBER(DATA!E30),DATA!E30,"")</f>
        <v>4</v>
      </c>
      <c r="F30" s="40" t="s">
        <v>13</v>
      </c>
      <c r="G30" s="266">
        <f>IF(ISNUMBER(DATA!G30),DATA!G30,"")</f>
        <v>0</v>
      </c>
      <c r="H30" s="92" t="str">
        <f>IF(calcolo!W10,L6,testo!B85&amp;" "&amp;testo!B86&amp;" A")</f>
        <v>AGENZIA BIONDINI</v>
      </c>
      <c r="I30" s="309">
        <v>27</v>
      </c>
      <c r="J30" s="29"/>
    </row>
    <row r="31" spans="1:10" ht="16.5" thickBot="1">
      <c r="A31" s="345"/>
      <c r="B31" s="47">
        <v>39651</v>
      </c>
      <c r="C31" s="48">
        <v>0.9166666666666666</v>
      </c>
      <c r="D31" s="97" t="str">
        <f>IF(calcolo!W42,L23,testo!B84&amp;" "&amp;testo!B86&amp;" D")</f>
        <v>TRIAL</v>
      </c>
      <c r="E31" s="268">
        <f>IF(ISNUMBER(DATA!E31),DATA!E31,"")</f>
        <v>9</v>
      </c>
      <c r="F31" s="98" t="s">
        <v>13</v>
      </c>
      <c r="G31" s="268">
        <f>IF(ISNUMBER(DATA!G31),DATA!G31,"")</f>
        <v>6</v>
      </c>
      <c r="H31" s="99" t="str">
        <f>IF(calcolo!W31,L18,testo!B85&amp;" "&amp;testo!B86&amp;" C")</f>
        <v>HAPPY DAYS</v>
      </c>
      <c r="I31" s="311">
        <v>28</v>
      </c>
      <c r="J31" s="29"/>
    </row>
    <row r="32" spans="4:7" ht="15.75">
      <c r="D32" s="86"/>
      <c r="E32" s="269"/>
      <c r="F32" s="100"/>
      <c r="G32" s="269"/>
    </row>
    <row r="33" spans="1:10" ht="15.75">
      <c r="A33" s="346" t="s">
        <v>18</v>
      </c>
      <c r="B33" s="90">
        <v>39653</v>
      </c>
      <c r="C33" s="91">
        <v>0.875</v>
      </c>
      <c r="D33" s="25" t="str">
        <f>DATA!D33</f>
        <v>JAMO OUTLET</v>
      </c>
      <c r="E33" s="266">
        <f>IF(ISNUMBER(DATA!E33),DATA!E33,"")</f>
        <v>7</v>
      </c>
      <c r="F33" s="40" t="s">
        <v>13</v>
      </c>
      <c r="G33" s="266">
        <f>IF(ISNUMBER(DATA!G33),DATA!G33,"")</f>
        <v>5</v>
      </c>
      <c r="H33" s="25" t="str">
        <f>DATA!H33</f>
        <v>VILLA PARK</v>
      </c>
      <c r="I33" s="309">
        <v>29</v>
      </c>
      <c r="J33" s="29"/>
    </row>
    <row r="34" spans="1:10" ht="16.5" thickBot="1">
      <c r="A34" s="347"/>
      <c r="B34" s="47">
        <v>39653</v>
      </c>
      <c r="C34" s="48">
        <v>0.9166666666666666</v>
      </c>
      <c r="D34" s="26" t="str">
        <f>DATA!D34</f>
        <v>EFFEDI SALOTTI</v>
      </c>
      <c r="E34" s="268">
        <f>IF(ISNUMBER(DATA!E34),DATA!E34,"")</f>
        <v>9</v>
      </c>
      <c r="F34" s="98" t="s">
        <v>13</v>
      </c>
      <c r="G34" s="268">
        <f>IF(ISNUMBER(DATA!G34),DATA!G34,"")</f>
        <v>6</v>
      </c>
      <c r="H34" s="26" t="str">
        <f>DATA!H34</f>
        <v>TRIAL</v>
      </c>
      <c r="I34" s="311">
        <v>30</v>
      </c>
      <c r="J34" s="29"/>
    </row>
    <row r="35" spans="4:8" ht="15.75">
      <c r="D35" s="101"/>
      <c r="E35" s="269"/>
      <c r="F35" s="100"/>
      <c r="G35" s="269"/>
      <c r="H35" s="101"/>
    </row>
    <row r="36" spans="1:10" ht="15.75">
      <c r="A36" s="329"/>
      <c r="B36" s="90">
        <v>39656</v>
      </c>
      <c r="C36" s="91">
        <v>0.875</v>
      </c>
      <c r="D36" s="102" t="str">
        <f>DATA!D36</f>
        <v>VILLA PARK</v>
      </c>
      <c r="E36" s="270">
        <f>IF(ISNUMBER(DATA!E36),DATA!E36,"")</f>
        <v>1</v>
      </c>
      <c r="F36" s="103" t="s">
        <v>13</v>
      </c>
      <c r="G36" s="270">
        <f>IF(ISNUMBER(DATA!G36),DATA!G36,"")</f>
        <v>9</v>
      </c>
      <c r="H36" s="102" t="str">
        <f>DATA!H36</f>
        <v>TRIAL</v>
      </c>
      <c r="I36" s="309">
        <v>31</v>
      </c>
      <c r="J36" s="29"/>
    </row>
    <row r="37" spans="1:10" ht="16.5" thickBot="1">
      <c r="A37" s="330"/>
      <c r="B37" s="47">
        <v>39656</v>
      </c>
      <c r="C37" s="48">
        <v>0.9166666666666666</v>
      </c>
      <c r="D37" s="104" t="str">
        <f>DATA!D37</f>
        <v>JAMO OUTLET</v>
      </c>
      <c r="E37" s="271">
        <f>IF(ISNUMBER(DATA!E37),DATA!E37,"")</f>
        <v>5</v>
      </c>
      <c r="F37" s="105" t="s">
        <v>13</v>
      </c>
      <c r="G37" s="271">
        <f>IF(ISNUMBER(DATA!G37),DATA!G37,"")</f>
        <v>6</v>
      </c>
      <c r="H37" s="104" t="str">
        <f>DATA!H37</f>
        <v>EFFEDI SALOTTI</v>
      </c>
      <c r="I37" s="311">
        <v>32</v>
      </c>
      <c r="J37" s="29"/>
    </row>
    <row r="38" ht="15.75">
      <c r="D38" s="86"/>
    </row>
  </sheetData>
  <sheetProtection sheet="1" objects="1" scenarios="1" selectLockedCells="1" selectUnlockedCells="1"/>
  <protectedRanges>
    <protectedRange sqref="E3:E37 G3:G26" name="Intervallo1"/>
    <protectedRange sqref="G27:G37" name="Intervallo2"/>
  </protectedRanges>
  <mergeCells count="13">
    <mergeCell ref="L3:L4"/>
    <mergeCell ref="A9:A14"/>
    <mergeCell ref="L9:L10"/>
    <mergeCell ref="A36:A37"/>
    <mergeCell ref="A15:A20"/>
    <mergeCell ref="L15:L16"/>
    <mergeCell ref="A21:A26"/>
    <mergeCell ref="L21:L22"/>
    <mergeCell ref="O1:P1"/>
    <mergeCell ref="B1:H1"/>
    <mergeCell ref="A28:A31"/>
    <mergeCell ref="A33:A34"/>
    <mergeCell ref="A3:A8"/>
  </mergeCells>
  <printOptions/>
  <pageMargins left="0.44" right="0.79" top="0.52" bottom="0.57" header="0.39" footer="0.5"/>
  <pageSetup fitToHeight="1" fitToWidth="1" horizontalDpi="600" verticalDpi="600" orientation="landscape" paperSize="9" scale="90" r:id="rId1"/>
  <ignoredErrors>
    <ignoredError sqref="H6:H7 H4 D5 H10 H12:H13 D11 D17 H24:H25" formula="1"/>
    <ignoredError sqref="H19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C42"/>
  <sheetViews>
    <sheetView zoomScalePageLayoutView="0" workbookViewId="0" topLeftCell="A10">
      <selection activeCell="I41" sqref="I41"/>
    </sheetView>
  </sheetViews>
  <sheetFormatPr defaultColWidth="11.421875" defaultRowHeight="12.75"/>
  <cols>
    <col min="1" max="1" width="17.140625" style="110" customWidth="1"/>
    <col min="2" max="3" width="5.00390625" style="110" customWidth="1"/>
    <col min="4" max="4" width="17.140625" style="110" customWidth="1"/>
    <col min="5" max="6" width="0.71875" style="112" customWidth="1"/>
    <col min="7" max="7" width="7.140625" style="112" customWidth="1"/>
    <col min="8" max="8" width="4.00390625" style="112" customWidth="1"/>
    <col min="9" max="10" width="3.57421875" style="112" customWidth="1"/>
    <col min="11" max="11" width="4.00390625" style="112" customWidth="1"/>
    <col min="12" max="13" width="0.71875" style="112" customWidth="1"/>
    <col min="14" max="14" width="7.28125" style="112" customWidth="1"/>
    <col min="15" max="18" width="4.140625" style="110" customWidth="1"/>
    <col min="19" max="20" width="0.71875" style="112" customWidth="1"/>
    <col min="21" max="21" width="2.57421875" style="110" customWidth="1"/>
    <col min="22" max="22" width="24.00390625" style="110" customWidth="1"/>
    <col min="23" max="23" width="9.28125" style="110" customWidth="1"/>
    <col min="24" max="24" width="4.57421875" style="110" customWidth="1"/>
    <col min="25" max="25" width="4.28125" style="110" customWidth="1"/>
    <col min="26" max="26" width="4.421875" style="110" customWidth="1"/>
    <col min="27" max="27" width="4.28125" style="110" customWidth="1"/>
    <col min="28" max="28" width="0.71875" style="110" customWidth="1"/>
    <col min="29" max="29" width="0.71875" style="112" customWidth="1"/>
    <col min="30" max="30" width="11.8515625" style="112" customWidth="1"/>
    <col min="31" max="32" width="0.71875" style="112" customWidth="1"/>
    <col min="33" max="33" width="18.421875" style="112" customWidth="1"/>
    <col min="34" max="34" width="8.57421875" style="110" customWidth="1"/>
    <col min="35" max="35" width="3.57421875" style="110" customWidth="1"/>
    <col min="36" max="37" width="0.71875" style="110" customWidth="1"/>
    <col min="38" max="38" width="9.28125" style="110" customWidth="1"/>
    <col min="39" max="39" width="9.7109375" style="110" customWidth="1"/>
    <col min="40" max="40" width="8.00390625" style="112" customWidth="1"/>
    <col min="41" max="42" width="0.71875" style="110" customWidth="1"/>
    <col min="43" max="43" width="6.140625" style="110" customWidth="1"/>
    <col min="44" max="44" width="5.28125" style="112" customWidth="1"/>
    <col min="45" max="45" width="8.140625" style="112" customWidth="1"/>
    <col min="46" max="46" width="6.57421875" style="110" customWidth="1"/>
    <col min="47" max="47" width="7.7109375" style="110" customWidth="1"/>
    <col min="48" max="49" width="0.71875" style="110" customWidth="1"/>
    <col min="50" max="50" width="16.00390625" style="112" customWidth="1"/>
    <col min="51" max="51" width="4.140625" style="112" customWidth="1"/>
    <col min="52" max="53" width="4.140625" style="110" customWidth="1"/>
    <col min="54" max="54" width="8.421875" style="110" customWidth="1"/>
    <col min="55" max="55" width="3.140625" style="110" customWidth="1"/>
    <col min="56" max="56" width="2.7109375" style="110" customWidth="1"/>
    <col min="57" max="57" width="2.8515625" style="110" customWidth="1"/>
    <col min="58" max="58" width="13.28125" style="110" customWidth="1"/>
    <col min="59" max="59" width="9.28125" style="110" customWidth="1"/>
    <col min="60" max="77" width="11.421875" style="110" customWidth="1"/>
    <col min="78" max="79" width="11.421875" style="112" customWidth="1"/>
    <col min="80" max="88" width="11.421875" style="110" customWidth="1"/>
    <col min="89" max="90" width="11.421875" style="112" customWidth="1"/>
    <col min="91" max="92" width="11.421875" style="110" customWidth="1"/>
    <col min="93" max="97" width="11.421875" style="112" customWidth="1"/>
    <col min="98" max="100" width="11.421875" style="110" customWidth="1"/>
    <col min="101" max="107" width="11.421875" style="112" customWidth="1"/>
    <col min="108" max="16384" width="11.421875" style="110" customWidth="1"/>
  </cols>
  <sheetData>
    <row r="1" spans="1:107" s="108" customFormat="1" ht="11.25" thickBot="1">
      <c r="A1" s="355" t="s">
        <v>20</v>
      </c>
      <c r="B1" s="355"/>
      <c r="C1" s="355"/>
      <c r="D1" s="355"/>
      <c r="E1" s="107"/>
      <c r="F1" s="106"/>
      <c r="G1" s="355" t="s">
        <v>21</v>
      </c>
      <c r="H1" s="355"/>
      <c r="I1" s="355"/>
      <c r="J1" s="355"/>
      <c r="K1" s="355"/>
      <c r="L1" s="107"/>
      <c r="M1" s="106"/>
      <c r="N1" s="355" t="s">
        <v>8</v>
      </c>
      <c r="O1" s="355"/>
      <c r="P1" s="355"/>
      <c r="Q1" s="355"/>
      <c r="R1" s="355"/>
      <c r="S1" s="107"/>
      <c r="T1" s="106"/>
      <c r="V1" s="108" t="s">
        <v>22</v>
      </c>
      <c r="AB1" s="107"/>
      <c r="AC1" s="106"/>
      <c r="AD1" s="106" t="s">
        <v>23</v>
      </c>
      <c r="AE1" s="107"/>
      <c r="AF1" s="106"/>
      <c r="AG1" s="109"/>
      <c r="AJ1" s="107"/>
      <c r="AK1" s="106"/>
      <c r="AL1" s="108" t="s">
        <v>24</v>
      </c>
      <c r="AN1" s="109"/>
      <c r="AO1" s="107"/>
      <c r="AP1" s="106"/>
      <c r="AQ1" s="108" t="s">
        <v>25</v>
      </c>
      <c r="AR1" s="109"/>
      <c r="AS1" s="109"/>
      <c r="AV1" s="107"/>
      <c r="AW1" s="106"/>
      <c r="AX1" s="109" t="s">
        <v>26</v>
      </c>
      <c r="AY1" s="109"/>
      <c r="BZ1" s="109"/>
      <c r="CA1" s="109"/>
      <c r="CK1" s="109"/>
      <c r="CL1" s="109"/>
      <c r="CO1" s="109"/>
      <c r="CP1" s="109"/>
      <c r="CQ1" s="109"/>
      <c r="CR1" s="109"/>
      <c r="CS1" s="109"/>
      <c r="CW1" s="109"/>
      <c r="CX1" s="109"/>
      <c r="CY1" s="109"/>
      <c r="CZ1" s="109"/>
      <c r="DA1" s="109"/>
      <c r="DB1" s="109"/>
      <c r="DC1" s="109"/>
    </row>
    <row r="2" spans="5:107" ht="125.25" customHeight="1">
      <c r="E2" s="111"/>
      <c r="L2" s="111"/>
      <c r="S2" s="111"/>
      <c r="AB2" s="111"/>
      <c r="AE2" s="111"/>
      <c r="AG2" s="113"/>
      <c r="AJ2" s="111"/>
      <c r="AK2" s="112"/>
      <c r="AL2" s="112"/>
      <c r="AM2" s="114"/>
      <c r="AN2" s="113"/>
      <c r="AO2" s="111"/>
      <c r="AP2" s="112"/>
      <c r="AQ2" s="112"/>
      <c r="AR2" s="114" t="s">
        <v>8</v>
      </c>
      <c r="AS2" s="114" t="s">
        <v>27</v>
      </c>
      <c r="AT2" s="114" t="s">
        <v>28</v>
      </c>
      <c r="AU2" s="110" t="s">
        <v>29</v>
      </c>
      <c r="AV2" s="111"/>
      <c r="AW2" s="112"/>
      <c r="AX2" s="113"/>
      <c r="AY2" s="113"/>
      <c r="BZ2" s="113"/>
      <c r="CA2" s="113"/>
      <c r="CK2" s="113"/>
      <c r="CL2" s="113"/>
      <c r="CO2" s="113"/>
      <c r="CP2" s="113"/>
      <c r="CQ2" s="113"/>
      <c r="CR2" s="113"/>
      <c r="CS2" s="113"/>
      <c r="CW2" s="113"/>
      <c r="CX2" s="113"/>
      <c r="CY2" s="113"/>
      <c r="CZ2" s="113"/>
      <c r="DA2" s="113"/>
      <c r="DB2" s="113"/>
      <c r="DC2" s="113"/>
    </row>
    <row r="3" spans="5:107" s="115" customFormat="1" ht="42" customHeight="1" thickBot="1">
      <c r="E3" s="116"/>
      <c r="F3" s="117"/>
      <c r="G3" s="117"/>
      <c r="H3" s="117"/>
      <c r="I3" s="117"/>
      <c r="J3" s="117"/>
      <c r="K3" s="117"/>
      <c r="L3" s="116"/>
      <c r="M3" s="117"/>
      <c r="N3" s="117"/>
      <c r="S3" s="116"/>
      <c r="T3" s="117"/>
      <c r="AB3" s="116"/>
      <c r="AC3" s="117"/>
      <c r="AD3" s="117"/>
      <c r="AE3" s="116"/>
      <c r="AF3" s="117"/>
      <c r="AG3" s="118" t="s">
        <v>30</v>
      </c>
      <c r="AH3" s="356" t="s">
        <v>31</v>
      </c>
      <c r="AI3" s="356"/>
      <c r="AJ3" s="116"/>
      <c r="AK3" s="117"/>
      <c r="AL3" s="118" t="s">
        <v>32</v>
      </c>
      <c r="AM3" s="118" t="s">
        <v>33</v>
      </c>
      <c r="AN3" s="118" t="s">
        <v>29</v>
      </c>
      <c r="AO3" s="116"/>
      <c r="AP3" s="117"/>
      <c r="AQ3" s="118" t="s">
        <v>34</v>
      </c>
      <c r="AR3" s="357" t="s">
        <v>35</v>
      </c>
      <c r="AS3" s="357"/>
      <c r="AT3" s="357"/>
      <c r="AU3" s="118"/>
      <c r="AV3" s="116"/>
      <c r="AW3" s="117"/>
      <c r="AX3" s="119" t="s">
        <v>36</v>
      </c>
      <c r="AY3" s="358" t="s">
        <v>37</v>
      </c>
      <c r="AZ3" s="358"/>
      <c r="BA3" s="358"/>
      <c r="BB3" s="120" t="s">
        <v>38</v>
      </c>
      <c r="BC3" s="357" t="s">
        <v>39</v>
      </c>
      <c r="BD3" s="357"/>
      <c r="BE3" s="357"/>
      <c r="BZ3" s="119"/>
      <c r="CA3" s="119"/>
      <c r="CK3" s="119"/>
      <c r="CL3" s="119"/>
      <c r="CO3" s="119"/>
      <c r="CP3" s="119"/>
      <c r="CQ3" s="119"/>
      <c r="CR3" s="119"/>
      <c r="CS3" s="119"/>
      <c r="CW3" s="119"/>
      <c r="CX3" s="119"/>
      <c r="CY3" s="119"/>
      <c r="CZ3" s="119"/>
      <c r="DA3" s="119"/>
      <c r="DB3" s="119"/>
      <c r="DC3" s="119"/>
    </row>
    <row r="4" spans="1:107" ht="10.5">
      <c r="A4" s="121" t="str">
        <f>testo!B2</f>
        <v>GIRONE A</v>
      </c>
      <c r="E4" s="111"/>
      <c r="L4" s="111"/>
      <c r="S4" s="111"/>
      <c r="AB4" s="111"/>
      <c r="AE4" s="111"/>
      <c r="AG4" s="114"/>
      <c r="AH4" s="114"/>
      <c r="AJ4" s="111"/>
      <c r="AK4" s="112"/>
      <c r="AL4" s="114"/>
      <c r="AM4" s="114"/>
      <c r="AN4" s="114"/>
      <c r="AO4" s="111"/>
      <c r="AP4" s="112"/>
      <c r="AQ4" s="114"/>
      <c r="AR4" s="359"/>
      <c r="AS4" s="359"/>
      <c r="AT4" s="359"/>
      <c r="AU4" s="114"/>
      <c r="AV4" s="111"/>
      <c r="AW4" s="112"/>
      <c r="AX4" s="113"/>
      <c r="AY4" s="360"/>
      <c r="AZ4" s="360"/>
      <c r="BA4" s="360"/>
      <c r="BB4" s="121"/>
      <c r="BC4" s="359"/>
      <c r="BD4" s="359"/>
      <c r="BE4" s="359"/>
      <c r="BZ4" s="113"/>
      <c r="CA4" s="113"/>
      <c r="CK4" s="113"/>
      <c r="CL4" s="113"/>
      <c r="CO4" s="113"/>
      <c r="CP4" s="113"/>
      <c r="CQ4" s="113"/>
      <c r="CR4" s="113"/>
      <c r="CS4" s="113"/>
      <c r="CW4" s="113"/>
      <c r="CX4" s="113"/>
      <c r="CY4" s="113"/>
      <c r="CZ4" s="113"/>
      <c r="DA4" s="113"/>
      <c r="DB4" s="113"/>
      <c r="DC4" s="113"/>
    </row>
    <row r="5" spans="1:107" ht="17.25">
      <c r="A5" s="122" t="str">
        <f>GIRONE!D3</f>
        <v>AUDAX FORLIVESE</v>
      </c>
      <c r="B5" s="123">
        <f>IF(ISNUMBER(GIRONE!E3),GIRONE!E3,"")</f>
        <v>4</v>
      </c>
      <c r="C5" s="123">
        <f>IF(ISNUMBER(GIRONE!G3),GIRONE!G3,"")</f>
        <v>6</v>
      </c>
      <c r="D5" s="124" t="str">
        <f>GIRONE!H3</f>
        <v>JAMO OUTLET</v>
      </c>
      <c r="E5" s="125"/>
      <c r="F5" s="126"/>
      <c r="G5" s="127">
        <f>SUM(H6:K9)</f>
        <v>54</v>
      </c>
      <c r="H5" s="128" t="str">
        <f>testo!A3</f>
        <v>BIO</v>
      </c>
      <c r="I5" s="129" t="str">
        <f>testo!A4</f>
        <v>BAG</v>
      </c>
      <c r="J5" s="129" t="str">
        <f>testo!A5</f>
        <v>AUD</v>
      </c>
      <c r="K5" s="130" t="str">
        <f>testo!A6</f>
        <v>JAM</v>
      </c>
      <c r="L5" s="125"/>
      <c r="M5" s="126"/>
      <c r="N5" s="127">
        <f>SUM(O6:R9)</f>
        <v>18</v>
      </c>
      <c r="O5" s="128" t="str">
        <f>testo!A3</f>
        <v>BIO</v>
      </c>
      <c r="P5" s="129" t="str">
        <f>testo!A4</f>
        <v>BAG</v>
      </c>
      <c r="Q5" s="129" t="str">
        <f>testo!A5</f>
        <v>AUD</v>
      </c>
      <c r="R5" s="129" t="str">
        <f>testo!A6</f>
        <v>JAM</v>
      </c>
      <c r="S5" s="125"/>
      <c r="T5" s="126"/>
      <c r="W5" s="131" t="s">
        <v>40</v>
      </c>
      <c r="X5" s="132" t="str">
        <f>testo!A$65</f>
        <v>Pt</v>
      </c>
      <c r="Y5" s="132" t="str">
        <f>testo!A$66</f>
        <v>GF</v>
      </c>
      <c r="Z5" s="132" t="str">
        <f>testo!A$67</f>
        <v>GS</v>
      </c>
      <c r="AA5" s="133" t="str">
        <f>testo!A$68</f>
        <v>DR</v>
      </c>
      <c r="AB5" s="125"/>
      <c r="AC5" s="126"/>
      <c r="AE5" s="125"/>
      <c r="AF5" s="126"/>
      <c r="AG5" s="113"/>
      <c r="AJ5" s="125"/>
      <c r="AK5" s="126"/>
      <c r="AL5" s="126"/>
      <c r="AN5" s="113"/>
      <c r="AO5" s="125"/>
      <c r="AP5" s="126"/>
      <c r="AQ5" s="134">
        <f>MATCH(1,AH6:AH9,0)</f>
        <v>1</v>
      </c>
      <c r="AR5" s="113"/>
      <c r="AS5" s="113"/>
      <c r="AV5" s="125"/>
      <c r="AW5" s="126"/>
      <c r="AX5" s="114"/>
      <c r="AY5" s="113"/>
      <c r="BZ5" s="113"/>
      <c r="CA5" s="113"/>
      <c r="CK5" s="113"/>
      <c r="CL5" s="113"/>
      <c r="CO5" s="113"/>
      <c r="CP5" s="113"/>
      <c r="CQ5" s="113"/>
      <c r="CR5" s="113"/>
      <c r="CS5" s="113"/>
      <c r="CW5" s="113"/>
      <c r="CX5" s="113"/>
      <c r="CY5" s="113"/>
      <c r="CZ5" s="113"/>
      <c r="DA5" s="113"/>
      <c r="DB5" s="113"/>
      <c r="DC5" s="113"/>
    </row>
    <row r="6" spans="1:107" ht="10.5">
      <c r="A6" s="122" t="str">
        <f>GIRONE!D4</f>
        <v>AGENZIA BIONDINI</v>
      </c>
      <c r="B6" s="123">
        <f>IF(ISNUMBER(GIRONE!E4),GIRONE!E4,"")</f>
        <v>8</v>
      </c>
      <c r="C6" s="123">
        <f>IF(ISNUMBER(GIRONE!G4),GIRONE!G4,"")</f>
        <v>4</v>
      </c>
      <c r="D6" s="124" t="str">
        <f>GIRONE!H4</f>
        <v>BAGNOLO BARDI COSTR.</v>
      </c>
      <c r="E6" s="111"/>
      <c r="G6" s="135" t="str">
        <f>testo!A3</f>
        <v>BIO</v>
      </c>
      <c r="H6" s="136"/>
      <c r="I6" s="113">
        <f>B6</f>
        <v>8</v>
      </c>
      <c r="J6" s="113">
        <f>B8</f>
        <v>8</v>
      </c>
      <c r="K6" s="137">
        <f>B9</f>
        <v>3</v>
      </c>
      <c r="L6" s="111"/>
      <c r="N6" s="135" t="str">
        <f>testo!A3</f>
        <v>BIO</v>
      </c>
      <c r="O6" s="138"/>
      <c r="P6" s="110">
        <f>IF(AND(ISNUMBER(I6),ISNUMBER(H7)),IF(I6&gt;H7,3,IF(I6=H7,1,0)),0)</f>
        <v>3</v>
      </c>
      <c r="Q6" s="110">
        <f>IF(AND(ISNUMBER(J6),ISNUMBER(H8)),IF(J6&gt;H8,3,IF(J6=H8,1,0)),0)</f>
        <v>3</v>
      </c>
      <c r="R6" s="139">
        <f>IF(AND(ISNUMBER(K6),ISNUMBER(H9)),IF(K6&gt;H9,3,IF(K6=H9,1,0)),0)</f>
        <v>0</v>
      </c>
      <c r="S6" s="111"/>
      <c r="U6" s="110">
        <v>1</v>
      </c>
      <c r="V6" s="140" t="str">
        <f>testo!B3</f>
        <v>AGENZIA BIONDINI</v>
      </c>
      <c r="W6" s="110">
        <f>IF(COUNT(H6:K6)=COUNT(H6:H9),COUNT(H6:H9),"")</f>
        <v>3</v>
      </c>
      <c r="X6" s="110">
        <f>SUM(O6:R6)</f>
        <v>6</v>
      </c>
      <c r="Y6" s="110">
        <f>SUM(H6:K6)</f>
        <v>19</v>
      </c>
      <c r="Z6" s="110">
        <f>SUM(H6:H9)</f>
        <v>9</v>
      </c>
      <c r="AA6" s="139">
        <f>Y6-Z6</f>
        <v>10</v>
      </c>
      <c r="AB6" s="111"/>
      <c r="AD6" s="141">
        <f>BB6</f>
        <v>2</v>
      </c>
      <c r="AE6" s="111"/>
      <c r="AG6" s="142">
        <f>X6*10000+AA6*100+Y6</f>
        <v>61019</v>
      </c>
      <c r="AH6" s="143">
        <f>COUNTIF(AG6:AG9,AG6)</f>
        <v>1</v>
      </c>
      <c r="AI6" s="143" t="str">
        <f>IF(AH6=1,"x","")</f>
        <v>x</v>
      </c>
      <c r="AJ6" s="111"/>
      <c r="AK6" s="112"/>
      <c r="AL6" s="144">
        <f>IF(AI6="x",1,IF(AG7=AG6,2,IF(AG8=AG6,3,4)))</f>
        <v>1</v>
      </c>
      <c r="AM6" s="143">
        <f>INDEX(O6:R6,1,AL6)</f>
        <v>0</v>
      </c>
      <c r="AN6" s="145">
        <f>IF(OR(AH10=2,AH10=4),AM6/10,0)</f>
        <v>0</v>
      </c>
      <c r="AO6" s="111"/>
      <c r="AP6" s="112"/>
      <c r="AQ6" s="112"/>
      <c r="AR6" s="146">
        <f>X6-INDEX(O6:R6,1,AQ5)</f>
        <v>6</v>
      </c>
      <c r="AS6" s="142">
        <f>AA6-(INDEX(H6:K6,1,AQ5)-INDEX(H6:H9,AQ5,1))</f>
        <v>10</v>
      </c>
      <c r="AT6" s="147">
        <f>Y6-INDEX(H6:K6,1,AQ5)</f>
        <v>19</v>
      </c>
      <c r="AU6" s="148">
        <f>IF(OR(AH10&lt;&gt;3,AI6="x"),0,AR6/10+AS6/1000+AT6/100000)</f>
        <v>0</v>
      </c>
      <c r="AV6" s="111"/>
      <c r="AW6" s="112"/>
      <c r="AX6" s="149">
        <f>AG6+AN6+AU6</f>
        <v>61019</v>
      </c>
      <c r="AY6" s="150">
        <f>IF(INDEX(AX6:AX9,U6)&gt;=INDEX(AX6:AX9,U7),U6,U7)</f>
        <v>1</v>
      </c>
      <c r="AZ6" s="147">
        <f>IF(INDEX(AX6:AX9,AY6)&gt;=INDEX(AX6:AX9,AY8),AY6,AY8)</f>
        <v>4</v>
      </c>
      <c r="BA6" s="143">
        <f>IF(INDEX(AX6:AX9,AZ6)&gt;=INDEX(AX6:AX9,AZ9),AZ6,AZ9)</f>
        <v>4</v>
      </c>
      <c r="BB6" s="151">
        <f>MATCH(U6,BA6:BA9,0)</f>
        <v>2</v>
      </c>
      <c r="BC6" s="147">
        <f>COUNTIF(AX6:AX9,AX6)</f>
        <v>1</v>
      </c>
      <c r="BD6" s="143" t="str">
        <f>IF(BC6=1,"x","")</f>
        <v>x</v>
      </c>
      <c r="BE6" s="143">
        <f>(BD6="x")*BB6</f>
        <v>2</v>
      </c>
      <c r="BZ6" s="113"/>
      <c r="CA6" s="113"/>
      <c r="CK6" s="113"/>
      <c r="CL6" s="113"/>
      <c r="CO6" s="113"/>
      <c r="CP6" s="113"/>
      <c r="CQ6" s="113"/>
      <c r="CR6" s="113"/>
      <c r="CS6" s="113"/>
      <c r="CW6" s="113"/>
      <c r="CX6" s="113"/>
      <c r="CY6" s="113"/>
      <c r="CZ6" s="113"/>
      <c r="DA6" s="113"/>
      <c r="DB6" s="113"/>
      <c r="DC6" s="113"/>
    </row>
    <row r="7" spans="1:107" ht="10.5">
      <c r="A7" s="122" t="str">
        <f>GIRONE!D5</f>
        <v>BAGNOLO BARDI COSTR.</v>
      </c>
      <c r="B7" s="123">
        <f>IF(ISNUMBER(GIRONE!E5),GIRONE!E5,"")</f>
        <v>1</v>
      </c>
      <c r="C7" s="123">
        <f>IF(ISNUMBER(GIRONE!G5),GIRONE!G5,"")</f>
        <v>8</v>
      </c>
      <c r="D7" s="124" t="str">
        <f>GIRONE!H5</f>
        <v>JAMO OUTLET</v>
      </c>
      <c r="E7" s="111"/>
      <c r="G7" s="152" t="str">
        <f>testo!A4</f>
        <v>BAG</v>
      </c>
      <c r="H7" s="113">
        <f>C6</f>
        <v>4</v>
      </c>
      <c r="I7" s="136"/>
      <c r="J7" s="113">
        <f>B10</f>
        <v>3</v>
      </c>
      <c r="K7" s="137">
        <f>B7</f>
        <v>1</v>
      </c>
      <c r="L7" s="111"/>
      <c r="N7" s="152" t="str">
        <f>testo!A4</f>
        <v>BAG</v>
      </c>
      <c r="O7" s="110">
        <f>IF(AND(ISNUMBER(H7),ISNUMBER(I6)),IF(H7&gt;I6,3,IF(H7=I6,1,0)),0)</f>
        <v>0</v>
      </c>
      <c r="P7" s="138"/>
      <c r="Q7" s="110">
        <f>IF(AND(ISNUMBER(J7),ISNUMBER(I8)),IF(J7&gt;I8,3,IF(J7=I8,1,0)),0)</f>
        <v>0</v>
      </c>
      <c r="R7" s="139">
        <f>IF(AND(ISNUMBER(K7),ISNUMBER(I9)),IF(K7&gt;I9,3,IF(K7=I9,1,0)),0)</f>
        <v>0</v>
      </c>
      <c r="S7" s="111"/>
      <c r="U7" s="110">
        <v>2</v>
      </c>
      <c r="V7" s="140" t="str">
        <f>testo!B4</f>
        <v>BAGNOLO BARDI COSTR.</v>
      </c>
      <c r="W7" s="110">
        <f>IF(COUNT(H7:K7)=COUNT(I6:I9),COUNT(I6:I9),"")</f>
        <v>3</v>
      </c>
      <c r="X7" s="110">
        <f>SUM(O7:R7)</f>
        <v>0</v>
      </c>
      <c r="Y7" s="110">
        <f>SUM(H7:K7)</f>
        <v>8</v>
      </c>
      <c r="Z7" s="110">
        <f>SUM(I6:I9)</f>
        <v>20</v>
      </c>
      <c r="AA7" s="139">
        <f>Y7-Z7</f>
        <v>-12</v>
      </c>
      <c r="AB7" s="111"/>
      <c r="AD7" s="153">
        <f>BB7</f>
        <v>4</v>
      </c>
      <c r="AE7" s="111"/>
      <c r="AG7" s="154">
        <f>X7*10000+AA7*100+Y7</f>
        <v>-1192</v>
      </c>
      <c r="AH7" s="139">
        <f>COUNTIF(AG6:AG9,AG7)</f>
        <v>1</v>
      </c>
      <c r="AI7" s="139" t="str">
        <f>IF(AH7=1,"x","")</f>
        <v>x</v>
      </c>
      <c r="AJ7" s="111"/>
      <c r="AK7" s="112"/>
      <c r="AL7" s="155">
        <f>IF(AI7="x",2,IF(AG8=AG7,3,IF(AG9=AG7,4,1)))</f>
        <v>2</v>
      </c>
      <c r="AM7" s="139">
        <f>INDEX(O7:R7,1,AL7)</f>
        <v>0</v>
      </c>
      <c r="AN7" s="156">
        <f>IF(OR(AH10=2,AH10=4),AM7/10,0)</f>
        <v>0</v>
      </c>
      <c r="AO7" s="111"/>
      <c r="AP7" s="112"/>
      <c r="AQ7" s="112"/>
      <c r="AR7" s="157">
        <f>X7-INDEX(O7:R7,1,AQ5)</f>
        <v>0</v>
      </c>
      <c r="AS7" s="154">
        <f>AA7-(INDEX(H7:K7,1,AQ5)-INDEX(I6:I9,AQ5))</f>
        <v>-8</v>
      </c>
      <c r="AT7" s="110">
        <f>Y7-INDEX(H7:K7,1,AQ5)</f>
        <v>4</v>
      </c>
      <c r="AU7" s="158">
        <f>IF(OR(AH10&lt;&gt;3,AI7="x"),0,AR7/10+AS7/1000+AT7/100000)</f>
        <v>0</v>
      </c>
      <c r="AV7" s="111"/>
      <c r="AW7" s="112"/>
      <c r="AX7" s="159">
        <f>AG7+AN7+AU7</f>
        <v>-1192</v>
      </c>
      <c r="AY7" s="113">
        <f>IF(INDEX(AX6:AX9,U7)&lt;=INDEX(AX6:AX9,U6),U7,U6)</f>
        <v>2</v>
      </c>
      <c r="AZ7" s="110">
        <f>IF(INDEX(AX6:AX9,AY7)&gt;=INDEX(AX6:AX9,AY9),AY7,AY9)</f>
        <v>3</v>
      </c>
      <c r="BA7" s="139">
        <f>IF(INDEX(AX6:AX9,AZ7)&gt;=INDEX(AX6:AX9,AZ8),AZ7,AZ8)</f>
        <v>1</v>
      </c>
      <c r="BB7" s="160">
        <f>MATCH(U7,BA6:BA9,0)</f>
        <v>4</v>
      </c>
      <c r="BC7" s="110">
        <f>COUNTIF(AX6:AX9,AX7)</f>
        <v>1</v>
      </c>
      <c r="BD7" s="139" t="str">
        <f>IF(BC7=1,"x","")</f>
        <v>x</v>
      </c>
      <c r="BE7" s="139">
        <f>(BD7="x")*BB7</f>
        <v>4</v>
      </c>
      <c r="BZ7" s="113"/>
      <c r="CA7" s="113"/>
      <c r="CK7" s="113"/>
      <c r="CL7" s="113"/>
      <c r="CO7" s="113"/>
      <c r="CP7" s="113"/>
      <c r="CQ7" s="113"/>
      <c r="CR7" s="113"/>
      <c r="CS7" s="113"/>
      <c r="CW7" s="113"/>
      <c r="CX7" s="113"/>
      <c r="CY7" s="113"/>
      <c r="CZ7" s="113"/>
      <c r="DA7" s="113"/>
      <c r="DB7" s="113"/>
      <c r="DC7" s="113"/>
    </row>
    <row r="8" spans="1:107" ht="10.5">
      <c r="A8" s="122" t="str">
        <f>GIRONE!D6</f>
        <v>AGENZIA BIONDINI</v>
      </c>
      <c r="B8" s="123">
        <f>IF(ISNUMBER(GIRONE!E6),GIRONE!E6,"")</f>
        <v>8</v>
      </c>
      <c r="C8" s="123">
        <f>IF(ISNUMBER(GIRONE!G6),GIRONE!G6,"")</f>
        <v>1</v>
      </c>
      <c r="D8" s="124" t="str">
        <f>GIRONE!H6</f>
        <v>AUDAX FORLIVESE</v>
      </c>
      <c r="E8" s="111"/>
      <c r="G8" s="152" t="str">
        <f>testo!A5</f>
        <v>AUD</v>
      </c>
      <c r="H8" s="113">
        <f>C8</f>
        <v>1</v>
      </c>
      <c r="I8" s="113">
        <f>C10</f>
        <v>4</v>
      </c>
      <c r="J8" s="136"/>
      <c r="K8" s="137">
        <f>B5</f>
        <v>4</v>
      </c>
      <c r="L8" s="111"/>
      <c r="N8" s="152" t="str">
        <f>testo!A5</f>
        <v>AUD</v>
      </c>
      <c r="O8" s="110">
        <f>IF(AND(ISNUMBER(H8),ISNUMBER(J6)),IF(H8&gt;J6,3,IF(H8=J6,1,0)),0)</f>
        <v>0</v>
      </c>
      <c r="P8" s="110">
        <f>IF(AND(ISNUMBER(I8),ISNUMBER(J7)),IF(I8&gt;J7,3,IF(I8=J7,1,0)),0)</f>
        <v>3</v>
      </c>
      <c r="Q8" s="138"/>
      <c r="R8" s="139">
        <f>IF(AND(ISNUMBER(K8),ISNUMBER(J9)),IF(K8&gt;J9,3,IF(K8=J9,1,0)),0)</f>
        <v>0</v>
      </c>
      <c r="S8" s="111"/>
      <c r="U8" s="110">
        <v>3</v>
      </c>
      <c r="V8" s="140" t="str">
        <f>testo!B5</f>
        <v>AUDAX FORLIVESE</v>
      </c>
      <c r="W8" s="110">
        <f>IF(COUNT(H8:K8)=COUNT(J6:J9),COUNT(J6:J9),"")</f>
        <v>3</v>
      </c>
      <c r="X8" s="110">
        <f>SUM(O8:R8)</f>
        <v>3</v>
      </c>
      <c r="Y8" s="110">
        <f>SUM(H8:K8)</f>
        <v>9</v>
      </c>
      <c r="Z8" s="110">
        <f>SUM(J6:J9)</f>
        <v>17</v>
      </c>
      <c r="AA8" s="139">
        <f>Y8-Z8</f>
        <v>-8</v>
      </c>
      <c r="AB8" s="111"/>
      <c r="AD8" s="153">
        <f>BB8</f>
        <v>3</v>
      </c>
      <c r="AE8" s="111"/>
      <c r="AG8" s="154">
        <f>X8*10000+AA8*100+Y8</f>
        <v>29209</v>
      </c>
      <c r="AH8" s="139">
        <f>COUNTIF(AG6:AG9,AG8)</f>
        <v>1</v>
      </c>
      <c r="AI8" s="139" t="str">
        <f>IF(AH8=1,"x","")</f>
        <v>x</v>
      </c>
      <c r="AJ8" s="111"/>
      <c r="AK8" s="112"/>
      <c r="AL8" s="155">
        <f>IF(AI8="x",3,IF(AG9=AG8,4,IF(AG7=AG8,2,1)))</f>
        <v>3</v>
      </c>
      <c r="AM8" s="139">
        <f>INDEX(O8:R8,1,AL8)</f>
        <v>0</v>
      </c>
      <c r="AN8" s="156">
        <f>IF(OR(AH10=2,AH10=4),AM8/10,0)</f>
        <v>0</v>
      </c>
      <c r="AO8" s="111"/>
      <c r="AP8" s="112"/>
      <c r="AQ8" s="112"/>
      <c r="AR8" s="157">
        <f>X8-INDEX(O8:R8,1,AQ5)</f>
        <v>3</v>
      </c>
      <c r="AS8" s="154">
        <f>AA8-(INDEX(H8:K8,1,AQ5)-INDEX(J6:J9,AQ5))</f>
        <v>-1</v>
      </c>
      <c r="AT8" s="110">
        <f>Y8-INDEX(H8:K8,1,AQ5)</f>
        <v>8</v>
      </c>
      <c r="AU8" s="158">
        <f>IF(OR(AH10&lt;&gt;3,AI8="x"),0,AR8/10+AS8/1000+AT8/100000)</f>
        <v>0</v>
      </c>
      <c r="AV8" s="111"/>
      <c r="AW8" s="112"/>
      <c r="AX8" s="159">
        <f>AG8+AN8+AU8</f>
        <v>29209</v>
      </c>
      <c r="AY8" s="113">
        <f>IF(INDEX(AX6:AX9,U8)&gt;=INDEX(AX6:AX9,U9),U8,U9)</f>
        <v>4</v>
      </c>
      <c r="AZ8" s="110">
        <f>IF(INDEX(AX6:AX9,AY8)&lt;=INDEX(AX6:AX9,AY6),AY8,AY6)</f>
        <v>1</v>
      </c>
      <c r="BA8" s="139">
        <f>IF(INDEX(AX6:AX9,AZ8)&lt;=INDEX(AX6:AX9,AZ7),AZ8,AZ7)</f>
        <v>3</v>
      </c>
      <c r="BB8" s="160">
        <f>MATCH(U8,BA6:BA9,0)</f>
        <v>3</v>
      </c>
      <c r="BC8" s="110">
        <f>COUNTIF(AX6:AX9,AX8)</f>
        <v>1</v>
      </c>
      <c r="BD8" s="139" t="str">
        <f>IF(BC8=1,"x","")</f>
        <v>x</v>
      </c>
      <c r="BE8" s="139">
        <f>(BD8="x")*BB8</f>
        <v>3</v>
      </c>
      <c r="BZ8" s="113"/>
      <c r="CA8" s="113"/>
      <c r="CK8" s="113"/>
      <c r="CL8" s="113"/>
      <c r="CO8" s="113"/>
      <c r="CP8" s="113"/>
      <c r="CQ8" s="113"/>
      <c r="CR8" s="113"/>
      <c r="CS8" s="113"/>
      <c r="CW8" s="113"/>
      <c r="CX8" s="113"/>
      <c r="CY8" s="113"/>
      <c r="CZ8" s="113"/>
      <c r="DA8" s="113"/>
      <c r="DB8" s="113"/>
      <c r="DC8" s="113"/>
    </row>
    <row r="9" spans="1:107" ht="10.5">
      <c r="A9" s="122" t="str">
        <f>GIRONE!D7</f>
        <v>AGENZIA BIONDINI</v>
      </c>
      <c r="B9" s="123">
        <f>IF(ISNUMBER(GIRONE!E7),GIRONE!E7,"")</f>
        <v>3</v>
      </c>
      <c r="C9" s="123">
        <f>IF(ISNUMBER(GIRONE!G7),GIRONE!G7,"")</f>
        <v>4</v>
      </c>
      <c r="D9" s="124" t="str">
        <f>GIRONE!H7</f>
        <v>JAMO OUTLET</v>
      </c>
      <c r="E9" s="161"/>
      <c r="F9" s="113"/>
      <c r="G9" s="152" t="str">
        <f>testo!A6</f>
        <v>JAM</v>
      </c>
      <c r="H9" s="162">
        <f>C9</f>
        <v>4</v>
      </c>
      <c r="I9" s="162">
        <f>C7</f>
        <v>8</v>
      </c>
      <c r="J9" s="162">
        <f>C5</f>
        <v>6</v>
      </c>
      <c r="K9" s="163"/>
      <c r="L9" s="161"/>
      <c r="M9" s="113"/>
      <c r="N9" s="152" t="str">
        <f>testo!A6</f>
        <v>JAM</v>
      </c>
      <c r="O9" s="164">
        <f>IF(AND(ISNUMBER(H9),ISNUMBER(K6)),IF(H9&gt;K6,3,IF(H9=K6,1,0)),0)</f>
        <v>3</v>
      </c>
      <c r="P9" s="164">
        <f>IF(AND(ISNUMBER(I9),ISNUMBER(K7)),IF(I9&gt;K7,3,IF(I9=K7,1,0)),0)</f>
        <v>3</v>
      </c>
      <c r="Q9" s="164">
        <f>IF(AND(ISNUMBER(J9),ISNUMBER(K8)),IF(J9&gt;K8,3,IF(J9=K8,1,0)),0)</f>
        <v>3</v>
      </c>
      <c r="R9" s="165"/>
      <c r="S9" s="161"/>
      <c r="T9" s="113"/>
      <c r="U9" s="110">
        <v>4</v>
      </c>
      <c r="V9" s="140" t="str">
        <f>testo!B6</f>
        <v>JAMO OUTLET</v>
      </c>
      <c r="W9" s="164">
        <f>IF(COUNT(H9:K9)=COUNT(K6:K9),COUNT(K6:K9),"")</f>
        <v>3</v>
      </c>
      <c r="X9" s="164">
        <f>SUM(O9:R9)</f>
        <v>9</v>
      </c>
      <c r="Y9" s="164">
        <f>SUM(H9:K9)</f>
        <v>18</v>
      </c>
      <c r="Z9" s="164">
        <f>SUM(K6:K9)</f>
        <v>8</v>
      </c>
      <c r="AA9" s="166">
        <f>Y9-Z9</f>
        <v>10</v>
      </c>
      <c r="AB9" s="167"/>
      <c r="AC9" s="113"/>
      <c r="AD9" s="168">
        <f>BB9</f>
        <v>1</v>
      </c>
      <c r="AE9" s="161"/>
      <c r="AF9" s="113"/>
      <c r="AG9" s="169">
        <f>X9*10000+AA9*100+Y9</f>
        <v>91018</v>
      </c>
      <c r="AH9" s="166">
        <f>COUNTIF(AG6:AG9,AG9)</f>
        <v>1</v>
      </c>
      <c r="AI9" s="166" t="str">
        <f>IF(AH9=1,"x","")</f>
        <v>x</v>
      </c>
      <c r="AJ9" s="167"/>
      <c r="AL9" s="170">
        <f>IF(AI9="x",4,IF(AG6=AG9,1,IF(AG7=AG9,2,3)))</f>
        <v>4</v>
      </c>
      <c r="AM9" s="166">
        <f>INDEX(O9:R9,1,AL9)</f>
        <v>0</v>
      </c>
      <c r="AN9" s="171">
        <f>IF(OR(AH10=2,AH10=4),AM9/10,0)</f>
        <v>0</v>
      </c>
      <c r="AO9" s="167"/>
      <c r="AR9" s="172">
        <f>X9-INDEX(O9:R9,1,AQ5)</f>
        <v>6</v>
      </c>
      <c r="AS9" s="169">
        <f>AA9-(INDEX(H9:K9,1,AQ5)-INDEX(K6:K9,AQ5))</f>
        <v>9</v>
      </c>
      <c r="AT9" s="164">
        <f>Y9-INDEX(H9:K9,1,AQ5)</f>
        <v>14</v>
      </c>
      <c r="AU9" s="173">
        <f>IF(OR(AH10&lt;&gt;3,AI9="x"),0,AR9/10+AS9/1000+AT9/100000)</f>
        <v>0</v>
      </c>
      <c r="AV9" s="167"/>
      <c r="AX9" s="174">
        <f>AG9+AN9+AU9</f>
        <v>91018</v>
      </c>
      <c r="AY9" s="162">
        <f>IF(INDEX(AX6:AX9,U9)&lt;=INDEX(AX6:AX9,U8),U9,U8)</f>
        <v>3</v>
      </c>
      <c r="AZ9" s="164">
        <f>IF(INDEX(AX6:AX9,AY9)&lt;=INDEX(AX6:AX9,AY7),AY9,AY7)</f>
        <v>2</v>
      </c>
      <c r="BA9" s="166">
        <f>IF(INDEX(AX6:AX9,AZ9)&lt;=INDEX(AX6:AX9,AZ6),AZ9,AZ6)</f>
        <v>2</v>
      </c>
      <c r="BB9" s="175">
        <f>MATCH(U9,BA6:BA9,0)</f>
        <v>1</v>
      </c>
      <c r="BC9" s="164">
        <f>COUNTIF(AX6:AX9,AX9)</f>
        <v>1</v>
      </c>
      <c r="BD9" s="166" t="str">
        <f>IF(BC9=1,"x","")</f>
        <v>x</v>
      </c>
      <c r="BE9" s="139">
        <f>(BD9="x")*BB9</f>
        <v>1</v>
      </c>
      <c r="BZ9" s="113"/>
      <c r="CA9" s="113"/>
      <c r="CK9" s="113"/>
      <c r="CL9" s="113"/>
      <c r="CO9" s="113"/>
      <c r="CP9" s="113"/>
      <c r="CQ9" s="113"/>
      <c r="CR9" s="113"/>
      <c r="CS9" s="113"/>
      <c r="CW9" s="113"/>
      <c r="CX9" s="113"/>
      <c r="CY9" s="113"/>
      <c r="CZ9" s="113"/>
      <c r="DA9" s="113"/>
      <c r="DB9" s="113"/>
      <c r="DC9" s="113"/>
    </row>
    <row r="10" spans="1:107" ht="10.5">
      <c r="A10" s="122" t="str">
        <f>GIRONE!D8</f>
        <v>BAGNOLO BARDI COSTR.</v>
      </c>
      <c r="B10" s="123">
        <f>IF(ISNUMBER(GIRONE!E8),GIRONE!E8,"")</f>
        <v>3</v>
      </c>
      <c r="C10" s="123">
        <f>IF(ISNUMBER(GIRONE!G8),GIRONE!G8,"")</f>
        <v>4</v>
      </c>
      <c r="D10" s="124" t="str">
        <f>GIRONE!H8</f>
        <v>AUDAX FORLIVESE</v>
      </c>
      <c r="E10" s="111"/>
      <c r="L10" s="111"/>
      <c r="S10" s="111"/>
      <c r="V10" s="176" t="s">
        <v>41</v>
      </c>
      <c r="W10" s="110" t="b">
        <f>SUM(W6:W9)=12</f>
        <v>1</v>
      </c>
      <c r="AB10" s="111"/>
      <c r="AD10" s="168" t="str">
        <f>BF10</f>
        <v>Classifica pulita</v>
      </c>
      <c r="AE10" s="111"/>
      <c r="AG10" s="177" t="s">
        <v>42</v>
      </c>
      <c r="AH10" s="166">
        <f>MOD(MIN(AH6:AH9)*MAX(AH6:AH9),11)</f>
        <v>1</v>
      </c>
      <c r="AJ10" s="111"/>
      <c r="AK10" s="112"/>
      <c r="AL10" s="112"/>
      <c r="AN10" s="113"/>
      <c r="AO10" s="111"/>
      <c r="AP10" s="112"/>
      <c r="AQ10" s="112"/>
      <c r="AR10" s="113"/>
      <c r="AS10" s="113"/>
      <c r="AV10" s="111"/>
      <c r="AW10" s="112"/>
      <c r="AX10" s="113"/>
      <c r="AY10" s="113"/>
      <c r="BD10" s="178">
        <f>COUNTIF(BD6:BD9,"x")</f>
        <v>4</v>
      </c>
      <c r="BE10" s="179">
        <f>SUM(BE6:BE9)</f>
        <v>10</v>
      </c>
      <c r="BF10" s="179" t="str">
        <f>IF(W10,IF(BD10&gt;=3,testo!B$71,IF(AND(BD10=2,BE10=3),testo!B$72,testo!B$73)),"")</f>
        <v>Classifica pulita</v>
      </c>
      <c r="BZ10" s="113"/>
      <c r="CA10" s="113"/>
      <c r="CK10" s="113"/>
      <c r="CL10" s="113"/>
      <c r="CO10" s="113"/>
      <c r="CP10" s="113"/>
      <c r="CQ10" s="113"/>
      <c r="CR10" s="113"/>
      <c r="CS10" s="113"/>
      <c r="CW10" s="113"/>
      <c r="CX10" s="113"/>
      <c r="CY10" s="113"/>
      <c r="CZ10" s="113"/>
      <c r="DA10" s="113"/>
      <c r="DB10" s="113"/>
      <c r="DC10" s="113"/>
    </row>
    <row r="11" spans="1:107" ht="10.5">
      <c r="A11" s="121"/>
      <c r="E11" s="111"/>
      <c r="L11" s="111"/>
      <c r="S11" s="111"/>
      <c r="AB11" s="111"/>
      <c r="AE11" s="111"/>
      <c r="AG11" s="114"/>
      <c r="AH11" s="114"/>
      <c r="AJ11" s="111"/>
      <c r="AK11" s="112"/>
      <c r="AL11" s="114"/>
      <c r="AM11" s="114"/>
      <c r="AN11" s="114"/>
      <c r="AO11" s="111"/>
      <c r="AP11" s="112"/>
      <c r="AQ11" s="114"/>
      <c r="AR11" s="361"/>
      <c r="AS11" s="361"/>
      <c r="AT11" s="361"/>
      <c r="AU11" s="114"/>
      <c r="AV11" s="111"/>
      <c r="AW11" s="112"/>
      <c r="AX11" s="113"/>
      <c r="AY11" s="362"/>
      <c r="AZ11" s="362"/>
      <c r="BA11" s="362"/>
      <c r="BB11" s="121"/>
      <c r="BC11" s="361"/>
      <c r="BD11" s="361"/>
      <c r="BE11" s="361"/>
      <c r="BZ11" s="113"/>
      <c r="CA11" s="113"/>
      <c r="CK11" s="113"/>
      <c r="CL11" s="113"/>
      <c r="CO11" s="113"/>
      <c r="CP11" s="113"/>
      <c r="CQ11" s="113"/>
      <c r="CR11" s="113"/>
      <c r="CS11" s="113"/>
      <c r="CW11" s="113"/>
      <c r="CX11" s="113"/>
      <c r="CY11" s="113"/>
      <c r="CZ11" s="113"/>
      <c r="DA11" s="113"/>
      <c r="DB11" s="113"/>
      <c r="DC11" s="113"/>
    </row>
    <row r="14" spans="1:107" ht="10.5">
      <c r="A14" s="121" t="str">
        <f>testo!B10</f>
        <v>GIRONE B</v>
      </c>
      <c r="E14" s="111"/>
      <c r="L14" s="111"/>
      <c r="S14" s="111"/>
      <c r="AB14" s="111"/>
      <c r="AE14" s="111"/>
      <c r="AG14" s="114"/>
      <c r="AH14" s="114"/>
      <c r="AJ14" s="111"/>
      <c r="AK14" s="112"/>
      <c r="AL14" s="114"/>
      <c r="AM14" s="114"/>
      <c r="AN14" s="114"/>
      <c r="AO14" s="111"/>
      <c r="AP14" s="112"/>
      <c r="AQ14" s="114"/>
      <c r="AR14" s="361"/>
      <c r="AS14" s="361"/>
      <c r="AT14" s="361"/>
      <c r="AU14" s="114"/>
      <c r="AV14" s="111"/>
      <c r="AW14" s="112"/>
      <c r="AX14" s="113"/>
      <c r="AY14" s="362"/>
      <c r="AZ14" s="362"/>
      <c r="BA14" s="362"/>
      <c r="BB14" s="121"/>
      <c r="BC14" s="361"/>
      <c r="BD14" s="361"/>
      <c r="BE14" s="361"/>
      <c r="BZ14" s="113"/>
      <c r="CA14" s="113"/>
      <c r="CK14" s="113"/>
      <c r="CL14" s="113"/>
      <c r="CO14" s="113"/>
      <c r="CP14" s="113"/>
      <c r="CQ14" s="113"/>
      <c r="CR14" s="113"/>
      <c r="CS14" s="113"/>
      <c r="CW14" s="113"/>
      <c r="CX14" s="113"/>
      <c r="CY14" s="113"/>
      <c r="CZ14" s="113"/>
      <c r="DA14" s="113"/>
      <c r="DB14" s="113"/>
      <c r="DC14" s="113"/>
    </row>
    <row r="15" spans="1:107" ht="17.25">
      <c r="A15" s="122" t="str">
        <f>GIRONE!D9</f>
        <v>LEONI DI SAN MARCO</v>
      </c>
      <c r="B15" s="123">
        <f>IF(ISNUMBER(GIRONE!E9),GIRONE!E9,"")</f>
        <v>3</v>
      </c>
      <c r="C15" s="123">
        <f>IF(ISNUMBER(GIRONE!G9),GIRONE!G9,"")</f>
        <v>15</v>
      </c>
      <c r="D15" s="124" t="str">
        <f>GIRONE!H9</f>
        <v>EFFEDI SALOTTI</v>
      </c>
      <c r="E15" s="125"/>
      <c r="F15" s="126"/>
      <c r="G15" s="127">
        <f>SUM(H16:K19)</f>
        <v>79</v>
      </c>
      <c r="H15" s="128" t="str">
        <f>testo!A11</f>
        <v>REA</v>
      </c>
      <c r="I15" s="129" t="str">
        <f>testo!A12</f>
        <v>DL</v>
      </c>
      <c r="J15" s="129" t="str">
        <f>testo!A13</f>
        <v>LEO</v>
      </c>
      <c r="K15" s="129" t="str">
        <f>testo!A14</f>
        <v>FD</v>
      </c>
      <c r="L15" s="125"/>
      <c r="M15" s="126"/>
      <c r="N15" s="127">
        <f>SUM(O16:R19)</f>
        <v>18</v>
      </c>
      <c r="O15" s="128" t="str">
        <f>testo!A11</f>
        <v>REA</v>
      </c>
      <c r="P15" s="129" t="str">
        <f>testo!A12</f>
        <v>DL</v>
      </c>
      <c r="Q15" s="129" t="str">
        <f>testo!A13</f>
        <v>LEO</v>
      </c>
      <c r="R15" s="129" t="str">
        <f>testo!A14</f>
        <v>FD</v>
      </c>
      <c r="S15" s="125"/>
      <c r="T15" s="126"/>
      <c r="W15" s="131" t="s">
        <v>40</v>
      </c>
      <c r="X15" s="132" t="str">
        <f>testo!A$65</f>
        <v>Pt</v>
      </c>
      <c r="Y15" s="132" t="str">
        <f>testo!A$66</f>
        <v>GF</v>
      </c>
      <c r="Z15" s="132" t="str">
        <f>testo!A$67</f>
        <v>GS</v>
      </c>
      <c r="AA15" s="133" t="str">
        <f>testo!A$68</f>
        <v>DR</v>
      </c>
      <c r="AB15" s="125"/>
      <c r="AC15" s="126"/>
      <c r="AE15" s="125"/>
      <c r="AF15" s="126"/>
      <c r="AG15" s="113"/>
      <c r="AJ15" s="125"/>
      <c r="AK15" s="126"/>
      <c r="AL15" s="126"/>
      <c r="AN15" s="113"/>
      <c r="AO15" s="125"/>
      <c r="AP15" s="126"/>
      <c r="AQ15" s="134">
        <f>MATCH(1,AH16:AH19,0)</f>
        <v>1</v>
      </c>
      <c r="AR15" s="113"/>
      <c r="AS15" s="113"/>
      <c r="AV15" s="125"/>
      <c r="AW15" s="126"/>
      <c r="AX15" s="114"/>
      <c r="AY15" s="113"/>
      <c r="BZ15" s="113"/>
      <c r="CA15" s="113"/>
      <c r="CK15" s="113"/>
      <c r="CL15" s="113"/>
      <c r="CO15" s="113"/>
      <c r="CP15" s="113"/>
      <c r="CQ15" s="113"/>
      <c r="CR15" s="113"/>
      <c r="CS15" s="113"/>
      <c r="CW15" s="113"/>
      <c r="CX15" s="113"/>
      <c r="CY15" s="113"/>
      <c r="CZ15" s="113"/>
      <c r="DA15" s="113"/>
      <c r="DB15" s="113"/>
      <c r="DC15" s="113"/>
    </row>
    <row r="16" spans="1:107" ht="10.5">
      <c r="A16" s="122" t="str">
        <f>GIRONE!D10</f>
        <v>REAL PROMALCOOLICA</v>
      </c>
      <c r="B16" s="123">
        <f>IF(ISNUMBER(GIRONE!E10),GIRONE!E10,"")</f>
        <v>11</v>
      </c>
      <c r="C16" s="123">
        <f>IF(ISNUMBER(GIRONE!G10),GIRONE!G10,"")</f>
        <v>1</v>
      </c>
      <c r="D16" s="124" t="str">
        <f>GIRONE!H10</f>
        <v>D.L. COSTRUZIONI 2000</v>
      </c>
      <c r="E16" s="111"/>
      <c r="G16" s="135" t="str">
        <f>testo!A11</f>
        <v>REA</v>
      </c>
      <c r="H16" s="136"/>
      <c r="I16" s="113">
        <f>B16</f>
        <v>11</v>
      </c>
      <c r="J16" s="113">
        <f>B18</f>
        <v>6</v>
      </c>
      <c r="K16" s="137">
        <f>B19</f>
        <v>3</v>
      </c>
      <c r="L16" s="111"/>
      <c r="N16" s="135" t="str">
        <f>testo!A11</f>
        <v>REA</v>
      </c>
      <c r="O16" s="138"/>
      <c r="P16" s="110">
        <f>IF(AND(ISNUMBER(I16),ISNUMBER(H17)),IF(I16&gt;H17,3,IF(I16=H17,1,0)),0)</f>
        <v>3</v>
      </c>
      <c r="Q16" s="110">
        <f>IF(AND(ISNUMBER(J16),ISNUMBER(H18)),IF(J16&gt;H18,3,IF(J16=H18,1,0)),0)</f>
        <v>3</v>
      </c>
      <c r="R16" s="139">
        <f>IF(AND(ISNUMBER(K16),ISNUMBER(H19)),IF(K16&gt;H19,3,IF(K16=H19,1,0)),0)</f>
        <v>0</v>
      </c>
      <c r="S16" s="111"/>
      <c r="U16" s="110">
        <v>1</v>
      </c>
      <c r="V16" s="140" t="str">
        <f>testo!B11</f>
        <v>REAL PROMALCOOLICA</v>
      </c>
      <c r="W16" s="110">
        <f>IF(COUNT(H16:K16)=COUNT(H16:H19),COUNT(H16:H19),"")</f>
        <v>3</v>
      </c>
      <c r="X16" s="110">
        <f>SUM(O16:R16)</f>
        <v>6</v>
      </c>
      <c r="Y16" s="110">
        <f>SUM(H16:K16)</f>
        <v>20</v>
      </c>
      <c r="Z16" s="110">
        <f>SUM(H16:H19)</f>
        <v>9</v>
      </c>
      <c r="AA16" s="139">
        <f>Y16-Z16</f>
        <v>11</v>
      </c>
      <c r="AB16" s="111"/>
      <c r="AD16" s="141">
        <f>BB16</f>
        <v>2</v>
      </c>
      <c r="AE16" s="111"/>
      <c r="AG16" s="142">
        <f>X16*10000+AA16*100+Y16</f>
        <v>61120</v>
      </c>
      <c r="AH16" s="143">
        <f>COUNTIF(AG16:AG19,AG16)</f>
        <v>1</v>
      </c>
      <c r="AI16" s="143" t="str">
        <f>IF(AH16=1,"x","")</f>
        <v>x</v>
      </c>
      <c r="AJ16" s="111"/>
      <c r="AK16" s="112"/>
      <c r="AL16" s="144">
        <f>IF(AI16="x",1,IF(AG17=AG16,2,IF(AG18=AG16,3,4)))</f>
        <v>1</v>
      </c>
      <c r="AM16" s="143">
        <f>INDEX(O16:R16,1,AL16)</f>
        <v>0</v>
      </c>
      <c r="AN16" s="145">
        <f>IF(OR(AH20=2,AH20=4),AM16/10,0)</f>
        <v>0</v>
      </c>
      <c r="AO16" s="111"/>
      <c r="AP16" s="112"/>
      <c r="AQ16" s="112"/>
      <c r="AR16" s="146">
        <f>X16-INDEX(O16:R16,1,AQ15)</f>
        <v>6</v>
      </c>
      <c r="AS16" s="142">
        <f>AA16-(INDEX(H16:K16,1,AQ15)-INDEX(H16:H19,AQ15,1))</f>
        <v>11</v>
      </c>
      <c r="AT16" s="147">
        <f>Y16-INDEX(H16:K16,1,AQ15)</f>
        <v>20</v>
      </c>
      <c r="AU16" s="148">
        <f>IF(OR(AH20&lt;&gt;3,AI16="x"),0,AR16/10+AS16/1000+AT16/100000)</f>
        <v>0</v>
      </c>
      <c r="AV16" s="111"/>
      <c r="AW16" s="112"/>
      <c r="AX16" s="149">
        <f>AG16+AN16+AU16</f>
        <v>61120</v>
      </c>
      <c r="AY16" s="150">
        <f>IF(INDEX(AX16:AX19,U16)&gt;=INDEX(AX16:AX19,U17),U16,U17)</f>
        <v>1</v>
      </c>
      <c r="AZ16" s="147">
        <f>IF(INDEX(AX16:AX19,AY16)&gt;=INDEX(AX16:AX19,AY18),AY16,AY18)</f>
        <v>4</v>
      </c>
      <c r="BA16" s="143">
        <f>IF(INDEX(AX16:AX19,AZ16)&gt;=INDEX(AX16:AX19,AZ19),AZ16,AZ19)</f>
        <v>4</v>
      </c>
      <c r="BB16" s="151">
        <f>MATCH(U16,BA16:BA19,0)</f>
        <v>2</v>
      </c>
      <c r="BC16" s="147">
        <f>COUNTIF(AX16:AX19,AX16)</f>
        <v>1</v>
      </c>
      <c r="BD16" s="143" t="str">
        <f>IF(BC16=1,"x","")</f>
        <v>x</v>
      </c>
      <c r="BE16" s="143">
        <f>(BD16="x")*BB16</f>
        <v>2</v>
      </c>
      <c r="BZ16" s="113"/>
      <c r="CA16" s="113"/>
      <c r="CK16" s="113"/>
      <c r="CL16" s="113"/>
      <c r="CO16" s="113"/>
      <c r="CP16" s="113"/>
      <c r="CQ16" s="113"/>
      <c r="CR16" s="113"/>
      <c r="CS16" s="113"/>
      <c r="CW16" s="113"/>
      <c r="CX16" s="113"/>
      <c r="CY16" s="113"/>
      <c r="CZ16" s="113"/>
      <c r="DA16" s="113"/>
      <c r="DB16" s="113"/>
      <c r="DC16" s="113"/>
    </row>
    <row r="17" spans="1:107" ht="10.5">
      <c r="A17" s="122" t="str">
        <f>GIRONE!D11</f>
        <v>D.L. COSTRUZIONI 2000</v>
      </c>
      <c r="B17" s="123">
        <f>IF(ISNUMBER(GIRONE!E11),GIRONE!E11,"")</f>
        <v>1</v>
      </c>
      <c r="C17" s="123">
        <f>IF(ISNUMBER(GIRONE!G11),GIRONE!G11,"")</f>
        <v>8</v>
      </c>
      <c r="D17" s="124" t="str">
        <f>GIRONE!H11</f>
        <v>EFFEDI SALOTTI</v>
      </c>
      <c r="E17" s="111"/>
      <c r="G17" s="152" t="str">
        <f>testo!A12</f>
        <v>DL</v>
      </c>
      <c r="H17" s="113">
        <f>C16</f>
        <v>1</v>
      </c>
      <c r="I17" s="136"/>
      <c r="J17" s="113">
        <f>B20</f>
        <v>15</v>
      </c>
      <c r="K17" s="137">
        <f>B17</f>
        <v>1</v>
      </c>
      <c r="L17" s="111"/>
      <c r="N17" s="152" t="str">
        <f>testo!A12</f>
        <v>DL</v>
      </c>
      <c r="O17" s="110">
        <f>IF(AND(ISNUMBER(H17),ISNUMBER(I16)),IF(H17&gt;I16,3,IF(H17=I16,1,0)),0)</f>
        <v>0</v>
      </c>
      <c r="P17" s="138"/>
      <c r="Q17" s="110">
        <f>IF(AND(ISNUMBER(J17),ISNUMBER(I18)),IF(J17&gt;I18,3,IF(J17=I18,1,0)),0)</f>
        <v>3</v>
      </c>
      <c r="R17" s="139">
        <f>IF(AND(ISNUMBER(K17),ISNUMBER(I19)),IF(K17&gt;I19,3,IF(K17=I19,1,0)),0)</f>
        <v>0</v>
      </c>
      <c r="S17" s="111"/>
      <c r="U17" s="110">
        <v>2</v>
      </c>
      <c r="V17" s="140" t="str">
        <f>testo!B12</f>
        <v>D.L. COSTRUZIONI 2000</v>
      </c>
      <c r="W17" s="110">
        <f>IF(COUNT(H17:K17)=COUNT(I16:I19),COUNT(I16:I19),"")</f>
        <v>3</v>
      </c>
      <c r="X17" s="110">
        <f>SUM(O17:R17)</f>
        <v>3</v>
      </c>
      <c r="Y17" s="110">
        <f>SUM(H17:K17)</f>
        <v>17</v>
      </c>
      <c r="Z17" s="110">
        <f>SUM(I16:I19)</f>
        <v>27</v>
      </c>
      <c r="AA17" s="139">
        <f>Y17-Z17</f>
        <v>-10</v>
      </c>
      <c r="AB17" s="111"/>
      <c r="AD17" s="153">
        <f>BB17</f>
        <v>3</v>
      </c>
      <c r="AE17" s="111"/>
      <c r="AG17" s="154">
        <f>X17*10000+AA17*100+Y17</f>
        <v>29017</v>
      </c>
      <c r="AH17" s="139">
        <f>COUNTIF(AG16:AG19,AG17)</f>
        <v>1</v>
      </c>
      <c r="AI17" s="139" t="str">
        <f>IF(AH17=1,"x","")</f>
        <v>x</v>
      </c>
      <c r="AJ17" s="111"/>
      <c r="AK17" s="112"/>
      <c r="AL17" s="155">
        <f>IF(AI17="x",2,IF(AG18=AG17,3,IF(AG19=AG17,4,1)))</f>
        <v>2</v>
      </c>
      <c r="AM17" s="139">
        <f>INDEX(O17:R17,1,AL17)</f>
        <v>0</v>
      </c>
      <c r="AN17" s="156">
        <f>IF(OR(AH20=2,AH20=4),AM17/10,0)</f>
        <v>0</v>
      </c>
      <c r="AO17" s="111"/>
      <c r="AP17" s="112"/>
      <c r="AQ17" s="112"/>
      <c r="AR17" s="157">
        <f>X17-INDEX(O17:R17,1,AQ15)</f>
        <v>3</v>
      </c>
      <c r="AS17" s="154">
        <f>AA17-(INDEX(H17:K17,1,AQ15)-INDEX(I16:I19,AQ15))</f>
        <v>0</v>
      </c>
      <c r="AT17" s="110">
        <f>Y17-INDEX(H17:K17,1,AQ15)</f>
        <v>16</v>
      </c>
      <c r="AU17" s="158">
        <f>IF(OR(AH20&lt;&gt;3,AI17="x"),0,AR17/10+AS17/1000+AT17/100000)</f>
        <v>0</v>
      </c>
      <c r="AV17" s="111"/>
      <c r="AW17" s="112"/>
      <c r="AX17" s="159">
        <f>AG17+AN17+AU17</f>
        <v>29017</v>
      </c>
      <c r="AY17" s="113">
        <f>IF(INDEX(AX16:AX19,U17)&lt;=INDEX(AX16:AX19,U16),U17,U16)</f>
        <v>2</v>
      </c>
      <c r="AZ17" s="110">
        <f>IF(INDEX(AX16:AX19,AY17)&gt;=INDEX(AX16:AX19,AY19),AY17,AY19)</f>
        <v>2</v>
      </c>
      <c r="BA17" s="139">
        <f>IF(INDEX(AX16:AX19,AZ17)&gt;=INDEX(AX16:AX19,AZ18),AZ17,AZ18)</f>
        <v>1</v>
      </c>
      <c r="BB17" s="160">
        <f>MATCH(U17,BA16:BA19,0)</f>
        <v>3</v>
      </c>
      <c r="BC17" s="110">
        <f>COUNTIF(AX16:AX19,AX17)</f>
        <v>1</v>
      </c>
      <c r="BD17" s="139" t="str">
        <f>IF(BC17=1,"x","")</f>
        <v>x</v>
      </c>
      <c r="BE17" s="139">
        <f>(BD17="x")*BB17</f>
        <v>3</v>
      </c>
      <c r="BZ17" s="113"/>
      <c r="CA17" s="113"/>
      <c r="CK17" s="113"/>
      <c r="CL17" s="113"/>
      <c r="CO17" s="113"/>
      <c r="CP17" s="113"/>
      <c r="CQ17" s="113"/>
      <c r="CR17" s="113"/>
      <c r="CS17" s="113"/>
      <c r="CW17" s="113"/>
      <c r="CX17" s="113"/>
      <c r="CY17" s="113"/>
      <c r="CZ17" s="113"/>
      <c r="DA17" s="113"/>
      <c r="DB17" s="113"/>
      <c r="DC17" s="113"/>
    </row>
    <row r="18" spans="1:107" ht="10.5">
      <c r="A18" s="122" t="str">
        <f>GIRONE!D12</f>
        <v>REAL PROMALCOOLICA</v>
      </c>
      <c r="B18" s="123">
        <f>IF(ISNUMBER(GIRONE!E12),GIRONE!E12,"")</f>
        <v>6</v>
      </c>
      <c r="C18" s="123">
        <f>IF(ISNUMBER(GIRONE!G12),GIRONE!G12,"")</f>
        <v>3</v>
      </c>
      <c r="D18" s="124" t="str">
        <f>GIRONE!H12</f>
        <v>LEONI DI SAN MARCO</v>
      </c>
      <c r="E18" s="111"/>
      <c r="G18" s="152" t="str">
        <f>testo!A13</f>
        <v>LEO</v>
      </c>
      <c r="H18" s="113">
        <f>C18</f>
        <v>3</v>
      </c>
      <c r="I18" s="113">
        <f>C20</f>
        <v>8</v>
      </c>
      <c r="J18" s="136"/>
      <c r="K18" s="137">
        <f>B15</f>
        <v>3</v>
      </c>
      <c r="L18" s="111"/>
      <c r="N18" s="152" t="str">
        <f>testo!A13</f>
        <v>LEO</v>
      </c>
      <c r="O18" s="110">
        <f>IF(AND(ISNUMBER(H18),ISNUMBER(J16)),IF(H18&gt;J16,3,IF(H18=J16,1,0)),0)</f>
        <v>0</v>
      </c>
      <c r="P18" s="110">
        <f>IF(AND(ISNUMBER(I18),ISNUMBER(J17)),IF(I18&gt;J17,3,IF(I18=J17,1,0)),0)</f>
        <v>0</v>
      </c>
      <c r="Q18" s="138"/>
      <c r="R18" s="139">
        <f>IF(AND(ISNUMBER(K18),ISNUMBER(J19)),IF(K18&gt;J19,3,IF(K18=J19,1,0)),0)</f>
        <v>0</v>
      </c>
      <c r="S18" s="111"/>
      <c r="U18" s="110">
        <v>3</v>
      </c>
      <c r="V18" s="140" t="str">
        <f>testo!B13</f>
        <v>LEONI DI SAN MARCO</v>
      </c>
      <c r="W18" s="110">
        <f>IF(COUNT(H18:K18)=COUNT(J16:J19),COUNT(J16:J19),"")</f>
        <v>3</v>
      </c>
      <c r="X18" s="110">
        <f>SUM(O18:R18)</f>
        <v>0</v>
      </c>
      <c r="Y18" s="110">
        <f>SUM(H18:K18)</f>
        <v>14</v>
      </c>
      <c r="Z18" s="110">
        <f>SUM(J16:J19)</f>
        <v>36</v>
      </c>
      <c r="AA18" s="139">
        <f>Y18-Z18</f>
        <v>-22</v>
      </c>
      <c r="AB18" s="111"/>
      <c r="AD18" s="153">
        <f>BB18</f>
        <v>4</v>
      </c>
      <c r="AE18" s="111"/>
      <c r="AG18" s="154">
        <f>X18*10000+AA18*100+Y18</f>
        <v>-2186</v>
      </c>
      <c r="AH18" s="139">
        <f>COUNTIF(AG16:AG19,AG18)</f>
        <v>1</v>
      </c>
      <c r="AI18" s="139" t="str">
        <f>IF(AH18=1,"x","")</f>
        <v>x</v>
      </c>
      <c r="AJ18" s="111"/>
      <c r="AK18" s="112"/>
      <c r="AL18" s="155">
        <f>IF(AI18="x",3,IF(AG19=AG18,4,IF(AG17=AG18,2,1)))</f>
        <v>3</v>
      </c>
      <c r="AM18" s="139">
        <f>INDEX(O18:R18,1,AL18)</f>
        <v>0</v>
      </c>
      <c r="AN18" s="156">
        <f>IF(OR(AH20=2,AH20=4),AM18/10,0)</f>
        <v>0</v>
      </c>
      <c r="AO18" s="111"/>
      <c r="AP18" s="112"/>
      <c r="AQ18" s="112"/>
      <c r="AR18" s="157">
        <f>X18-INDEX(O18:R18,1,AQ15)</f>
        <v>0</v>
      </c>
      <c r="AS18" s="154">
        <f>AA18-(INDEX(H18:K18,1,AQ15)-INDEX(J16:J19,AQ15))</f>
        <v>-19</v>
      </c>
      <c r="AT18" s="110">
        <f>Y18-INDEX(H18:K18,1,AQ15)</f>
        <v>11</v>
      </c>
      <c r="AU18" s="158">
        <f>IF(OR(AH20&lt;&gt;3,AI18="x"),0,AR18/10+AS18/1000+AT18/100000)</f>
        <v>0</v>
      </c>
      <c r="AV18" s="111"/>
      <c r="AW18" s="112"/>
      <c r="AX18" s="159">
        <f>AG18+AN18+AU18</f>
        <v>-2186</v>
      </c>
      <c r="AY18" s="113">
        <f>IF(INDEX(AX16:AX19,U18)&gt;=INDEX(AX16:AX19,U19),U18,U19)</f>
        <v>4</v>
      </c>
      <c r="AZ18" s="110">
        <f>IF(INDEX(AX16:AX19,AY18)&lt;=INDEX(AX16:AX19,AY16),AY18,AY16)</f>
        <v>1</v>
      </c>
      <c r="BA18" s="139">
        <f>IF(INDEX(AX16:AX19,AZ18)&lt;=INDEX(AX16:AX19,AZ17),AZ18,AZ17)</f>
        <v>2</v>
      </c>
      <c r="BB18" s="160">
        <f>MATCH(U18,BA16:BA19,0)</f>
        <v>4</v>
      </c>
      <c r="BC18" s="110">
        <f>COUNTIF(AX16:AX19,AX18)</f>
        <v>1</v>
      </c>
      <c r="BD18" s="139" t="str">
        <f>IF(BC18=1,"x","")</f>
        <v>x</v>
      </c>
      <c r="BE18" s="139">
        <f>(BD18="x")*BB18</f>
        <v>4</v>
      </c>
      <c r="BZ18" s="113"/>
      <c r="CA18" s="113"/>
      <c r="CK18" s="113"/>
      <c r="CL18" s="113"/>
      <c r="CO18" s="113"/>
      <c r="CP18" s="113"/>
      <c r="CQ18" s="113"/>
      <c r="CR18" s="113"/>
      <c r="CS18" s="113"/>
      <c r="CW18" s="113"/>
      <c r="CX18" s="113"/>
      <c r="CY18" s="113"/>
      <c r="CZ18" s="113"/>
      <c r="DA18" s="113"/>
      <c r="DB18" s="113"/>
      <c r="DC18" s="113"/>
    </row>
    <row r="19" spans="1:107" ht="10.5">
      <c r="A19" s="122" t="str">
        <f>GIRONE!D13</f>
        <v>REAL PROMALCOOLICA</v>
      </c>
      <c r="B19" s="123">
        <f>IF(ISNUMBER(GIRONE!E13),GIRONE!E13,"")</f>
        <v>3</v>
      </c>
      <c r="C19" s="123">
        <f>IF(ISNUMBER(GIRONE!G13),GIRONE!G13,"")</f>
        <v>5</v>
      </c>
      <c r="D19" s="124" t="str">
        <f>GIRONE!H13</f>
        <v>EFFEDI SALOTTI</v>
      </c>
      <c r="E19" s="161"/>
      <c r="F19" s="113"/>
      <c r="G19" s="152" t="str">
        <f>testo!A14</f>
        <v>FD</v>
      </c>
      <c r="H19" s="162">
        <f>C19</f>
        <v>5</v>
      </c>
      <c r="I19" s="162">
        <f>C17</f>
        <v>8</v>
      </c>
      <c r="J19" s="162">
        <f>C15</f>
        <v>15</v>
      </c>
      <c r="K19" s="163"/>
      <c r="L19" s="161"/>
      <c r="M19" s="113"/>
      <c r="N19" s="152" t="str">
        <f>testo!A14</f>
        <v>FD</v>
      </c>
      <c r="O19" s="164">
        <f>IF(AND(ISNUMBER(H19),ISNUMBER(K16)),IF(H19&gt;K16,3,IF(H19=K16,1,0)),0)</f>
        <v>3</v>
      </c>
      <c r="P19" s="164">
        <f>IF(AND(ISNUMBER(I19),ISNUMBER(K17)),IF(I19&gt;K17,3,IF(I19=K17,1,0)),0)</f>
        <v>3</v>
      </c>
      <c r="Q19" s="164">
        <f>IF(AND(ISNUMBER(J19),ISNUMBER(K18)),IF(J19&gt;K18,3,IF(J19=K18,1,0)),0)</f>
        <v>3</v>
      </c>
      <c r="R19" s="165"/>
      <c r="S19" s="161"/>
      <c r="T19" s="113"/>
      <c r="U19" s="110">
        <v>4</v>
      </c>
      <c r="V19" s="140" t="str">
        <f>testo!B14</f>
        <v>EFFEDI SALOTTI</v>
      </c>
      <c r="W19" s="164">
        <f>IF(COUNT(H19:K19)=COUNT(K16:K19),COUNT(K16:K19),"")</f>
        <v>3</v>
      </c>
      <c r="X19" s="164">
        <f>SUM(O19:R19)</f>
        <v>9</v>
      </c>
      <c r="Y19" s="164">
        <f>SUM(H19:K19)</f>
        <v>28</v>
      </c>
      <c r="Z19" s="164">
        <f>SUM(K16:K19)</f>
        <v>7</v>
      </c>
      <c r="AA19" s="166">
        <f>Y19-Z19</f>
        <v>21</v>
      </c>
      <c r="AB19" s="167"/>
      <c r="AC19" s="113"/>
      <c r="AD19" s="168">
        <f>BB19</f>
        <v>1</v>
      </c>
      <c r="AE19" s="161"/>
      <c r="AF19" s="113"/>
      <c r="AG19" s="169">
        <f>X19*10000+AA19*100+Y19</f>
        <v>92128</v>
      </c>
      <c r="AH19" s="166">
        <f>COUNTIF(AG16:AG19,AG19)</f>
        <v>1</v>
      </c>
      <c r="AI19" s="166" t="str">
        <f>IF(AH19=1,"x","")</f>
        <v>x</v>
      </c>
      <c r="AJ19" s="167"/>
      <c r="AL19" s="170">
        <f>IF(AI19="x",4,IF(AG16=AG19,1,IF(AG17=AG19,2,3)))</f>
        <v>4</v>
      </c>
      <c r="AM19" s="166">
        <f>INDEX(O19:R19,1,AL19)</f>
        <v>0</v>
      </c>
      <c r="AN19" s="171">
        <f>IF(OR(AH20=2,AH20=4),AM19/10,0)</f>
        <v>0</v>
      </c>
      <c r="AO19" s="167"/>
      <c r="AR19" s="172">
        <f>X19-INDEX(O19:R19,1,AQ15)</f>
        <v>6</v>
      </c>
      <c r="AS19" s="169">
        <f>AA19-(INDEX(H19:K19,1,AQ15)-INDEX(K16:K19,AQ15))</f>
        <v>19</v>
      </c>
      <c r="AT19" s="164">
        <f>Y19-INDEX(H19:K19,1,AQ15)</f>
        <v>23</v>
      </c>
      <c r="AU19" s="173">
        <f>IF(OR(AH20&lt;&gt;3,AI19="x"),0,AR19/10+AS19/1000+AT19/100000)</f>
        <v>0</v>
      </c>
      <c r="AV19" s="167"/>
      <c r="AX19" s="174">
        <f>AG19+AN19+AU19</f>
        <v>92128</v>
      </c>
      <c r="AY19" s="162">
        <f>IF(INDEX(AX16:AX19,U19)&lt;=INDEX(AX16:AX19,U18),U19,U18)</f>
        <v>3</v>
      </c>
      <c r="AZ19" s="164">
        <f>IF(INDEX(AX16:AX19,AY19)&lt;=INDEX(AX16:AX19,AY17),AY19,AY17)</f>
        <v>3</v>
      </c>
      <c r="BA19" s="166">
        <f>IF(INDEX(AX16:AX19,AZ19)&lt;=INDEX(AX16:AX19,AZ16),AZ19,AZ16)</f>
        <v>3</v>
      </c>
      <c r="BB19" s="175">
        <f>MATCH(U19,BA16:BA19,0)</f>
        <v>1</v>
      </c>
      <c r="BC19" s="164">
        <f>COUNTIF(AX16:AX19,AX19)</f>
        <v>1</v>
      </c>
      <c r="BD19" s="166" t="str">
        <f>IF(BC19=1,"x","")</f>
        <v>x</v>
      </c>
      <c r="BE19" s="139">
        <f>(BD19="x")*BB19</f>
        <v>1</v>
      </c>
      <c r="BZ19" s="113"/>
      <c r="CA19" s="113"/>
      <c r="CK19" s="113"/>
      <c r="CL19" s="113"/>
      <c r="CO19" s="113"/>
      <c r="CP19" s="113"/>
      <c r="CQ19" s="113"/>
      <c r="CR19" s="113"/>
      <c r="CS19" s="113"/>
      <c r="CW19" s="113"/>
      <c r="CX19" s="113"/>
      <c r="CY19" s="113"/>
      <c r="CZ19" s="113"/>
      <c r="DA19" s="113"/>
      <c r="DB19" s="113"/>
      <c r="DC19" s="113"/>
    </row>
    <row r="20" spans="1:107" ht="10.5">
      <c r="A20" s="122" t="str">
        <f>GIRONE!D14</f>
        <v>D.L. COSTRUZIONI 2000</v>
      </c>
      <c r="B20" s="123">
        <f>IF(ISNUMBER(GIRONE!E14),GIRONE!E14,"")</f>
        <v>15</v>
      </c>
      <c r="C20" s="123">
        <f>IF(ISNUMBER(GIRONE!G14),GIRONE!G14,"")</f>
        <v>8</v>
      </c>
      <c r="D20" s="124" t="str">
        <f>GIRONE!H14</f>
        <v>LEONI DI SAN MARCO</v>
      </c>
      <c r="E20" s="111"/>
      <c r="L20" s="111"/>
      <c r="S20" s="111"/>
      <c r="V20" s="176" t="s">
        <v>41</v>
      </c>
      <c r="W20" s="110" t="b">
        <f>SUM(W16:W19)=12</f>
        <v>1</v>
      </c>
      <c r="AB20" s="111"/>
      <c r="AD20" s="168" t="str">
        <f>BF20</f>
        <v>Classifica pulita</v>
      </c>
      <c r="AE20" s="111"/>
      <c r="AG20" s="177" t="s">
        <v>42</v>
      </c>
      <c r="AH20" s="166">
        <f>MOD(MIN(AH16:AH19)*MAX(AH16:AH19),11)</f>
        <v>1</v>
      </c>
      <c r="AJ20" s="111"/>
      <c r="AK20" s="112"/>
      <c r="AL20" s="112"/>
      <c r="AN20" s="113"/>
      <c r="AO20" s="111"/>
      <c r="AP20" s="112"/>
      <c r="AQ20" s="112"/>
      <c r="AR20" s="113"/>
      <c r="AS20" s="113"/>
      <c r="AV20" s="111"/>
      <c r="AW20" s="112"/>
      <c r="AX20" s="113"/>
      <c r="AY20" s="113"/>
      <c r="BD20" s="178">
        <f>COUNTIF(BD16:BD19,"x")</f>
        <v>4</v>
      </c>
      <c r="BE20" s="179">
        <f>SUM(BE16:BE19)</f>
        <v>10</v>
      </c>
      <c r="BF20" s="179" t="str">
        <f>IF(W20,IF(BD20&gt;=3,testo!B$71,IF(AND(BD20=2,BE20=3),testo!B$72,testo!B$73)),"")</f>
        <v>Classifica pulita</v>
      </c>
      <c r="BZ20" s="113"/>
      <c r="CA20" s="113"/>
      <c r="CK20" s="113"/>
      <c r="CL20" s="113"/>
      <c r="CO20" s="113"/>
      <c r="CP20" s="113"/>
      <c r="CQ20" s="113"/>
      <c r="CR20" s="113"/>
      <c r="CS20" s="113"/>
      <c r="CW20" s="113"/>
      <c r="CX20" s="113"/>
      <c r="CY20" s="113"/>
      <c r="CZ20" s="113"/>
      <c r="DA20" s="113"/>
      <c r="DB20" s="113"/>
      <c r="DC20" s="113"/>
    </row>
    <row r="25" spans="1:107" ht="10.5">
      <c r="A25" s="121" t="str">
        <f>testo!B18</f>
        <v>GIRONE C</v>
      </c>
      <c r="E25" s="111"/>
      <c r="L25" s="111"/>
      <c r="S25" s="111"/>
      <c r="AB25" s="111"/>
      <c r="AE25" s="111"/>
      <c r="AG25" s="114"/>
      <c r="AH25" s="114"/>
      <c r="AJ25" s="111"/>
      <c r="AK25" s="112"/>
      <c r="AL25" s="114"/>
      <c r="AM25" s="114"/>
      <c r="AN25" s="114"/>
      <c r="AO25" s="111"/>
      <c r="AP25" s="112"/>
      <c r="AQ25" s="114"/>
      <c r="AR25" s="361"/>
      <c r="AS25" s="361"/>
      <c r="AT25" s="361"/>
      <c r="AU25" s="114"/>
      <c r="AV25" s="111"/>
      <c r="AW25" s="112"/>
      <c r="AX25" s="113"/>
      <c r="AY25" s="362"/>
      <c r="AZ25" s="362"/>
      <c r="BA25" s="362"/>
      <c r="BB25" s="121"/>
      <c r="BC25" s="361"/>
      <c r="BD25" s="361"/>
      <c r="BE25" s="361"/>
      <c r="BZ25" s="113"/>
      <c r="CA25" s="113"/>
      <c r="CK25" s="113"/>
      <c r="CL25" s="113"/>
      <c r="CO25" s="113"/>
      <c r="CP25" s="113"/>
      <c r="CQ25" s="113"/>
      <c r="CR25" s="113"/>
      <c r="CS25" s="113"/>
      <c r="CW25" s="113"/>
      <c r="CX25" s="113"/>
      <c r="CY25" s="113"/>
      <c r="CZ25" s="113"/>
      <c r="DA25" s="113"/>
      <c r="DB25" s="113"/>
      <c r="DC25" s="113"/>
    </row>
    <row r="26" spans="1:107" ht="17.25">
      <c r="A26" s="122" t="str">
        <f>GIRONE!D15</f>
        <v>ROSSI SRL</v>
      </c>
      <c r="B26" s="123">
        <f>IF(ISNUMBER(GIRONE!E15),GIRONE!E15,"")</f>
        <v>2</v>
      </c>
      <c r="C26" s="123">
        <f>IF(ISNUMBER(GIRONE!G15),GIRONE!G15,"")</f>
        <v>5</v>
      </c>
      <c r="D26" s="124" t="str">
        <f>GIRONE!H15</f>
        <v>DE STEFANI</v>
      </c>
      <c r="E26" s="125"/>
      <c r="F26" s="126"/>
      <c r="G26" s="127">
        <f>SUM(H27:K30)</f>
        <v>47</v>
      </c>
      <c r="H26" s="128" t="str">
        <f>testo!A19</f>
        <v>HAP</v>
      </c>
      <c r="I26" s="129" t="str">
        <f>testo!A20</f>
        <v>VIL</v>
      </c>
      <c r="J26" s="129" t="str">
        <f>testo!A21</f>
        <v>ROS</v>
      </c>
      <c r="K26" s="129" t="str">
        <f>testo!A22</f>
        <v>DES</v>
      </c>
      <c r="L26" s="125"/>
      <c r="M26" s="126"/>
      <c r="N26" s="127">
        <f>SUM(O27:R30)</f>
        <v>18</v>
      </c>
      <c r="O26" s="128" t="str">
        <f>testo!A19</f>
        <v>HAP</v>
      </c>
      <c r="P26" s="129" t="str">
        <f>testo!A20</f>
        <v>VIL</v>
      </c>
      <c r="Q26" s="129" t="str">
        <f>testo!A21</f>
        <v>ROS</v>
      </c>
      <c r="R26" s="129" t="str">
        <f>testo!A22</f>
        <v>DES</v>
      </c>
      <c r="S26" s="125"/>
      <c r="T26" s="126"/>
      <c r="W26" s="131" t="s">
        <v>40</v>
      </c>
      <c r="X26" s="132" t="str">
        <f>testo!A$65</f>
        <v>Pt</v>
      </c>
      <c r="Y26" s="132" t="str">
        <f>testo!A$66</f>
        <v>GF</v>
      </c>
      <c r="Z26" s="132" t="str">
        <f>testo!A$67</f>
        <v>GS</v>
      </c>
      <c r="AA26" s="133" t="str">
        <f>testo!A$68</f>
        <v>DR</v>
      </c>
      <c r="AB26" s="125"/>
      <c r="AC26" s="126"/>
      <c r="AE26" s="125"/>
      <c r="AF26" s="126"/>
      <c r="AG26" s="113"/>
      <c r="AJ26" s="125"/>
      <c r="AK26" s="126"/>
      <c r="AL26" s="126"/>
      <c r="AN26" s="113"/>
      <c r="AO26" s="125"/>
      <c r="AP26" s="126"/>
      <c r="AQ26" s="134">
        <f>MATCH(1,AH27:AH30,0)</f>
        <v>1</v>
      </c>
      <c r="AR26" s="113"/>
      <c r="AS26" s="113"/>
      <c r="AV26" s="125"/>
      <c r="AW26" s="126"/>
      <c r="AX26" s="114"/>
      <c r="AY26" s="113"/>
      <c r="BZ26" s="113"/>
      <c r="CA26" s="113"/>
      <c r="CK26" s="113"/>
      <c r="CL26" s="113"/>
      <c r="CO26" s="113"/>
      <c r="CP26" s="113"/>
      <c r="CQ26" s="113"/>
      <c r="CR26" s="113"/>
      <c r="CS26" s="113"/>
      <c r="CW26" s="113"/>
      <c r="CX26" s="113"/>
      <c r="CY26" s="113"/>
      <c r="CZ26" s="113"/>
      <c r="DA26" s="113"/>
      <c r="DB26" s="113"/>
      <c r="DC26" s="113"/>
    </row>
    <row r="27" spans="1:107" ht="10.5">
      <c r="A27" s="122" t="str">
        <f>GIRONE!D16</f>
        <v>HAPPY DAYS</v>
      </c>
      <c r="B27" s="123">
        <f>IF(ISNUMBER(GIRONE!E16),GIRONE!E16,"")</f>
        <v>1</v>
      </c>
      <c r="C27" s="123">
        <f>IF(ISNUMBER(GIRONE!G16),GIRONE!G16,"")</f>
        <v>5</v>
      </c>
      <c r="D27" s="124" t="str">
        <f>GIRONE!H16</f>
        <v>VILLA PARK</v>
      </c>
      <c r="E27" s="111"/>
      <c r="G27" s="135" t="str">
        <f>testo!A19</f>
        <v>HAP</v>
      </c>
      <c r="H27" s="136"/>
      <c r="I27" s="113">
        <f>B27</f>
        <v>1</v>
      </c>
      <c r="J27" s="113">
        <f>B29</f>
        <v>13</v>
      </c>
      <c r="K27" s="137">
        <f>B30</f>
        <v>5</v>
      </c>
      <c r="L27" s="111"/>
      <c r="N27" s="135" t="str">
        <f>testo!A19</f>
        <v>HAP</v>
      </c>
      <c r="O27" s="138"/>
      <c r="P27" s="110">
        <f>IF(AND(ISNUMBER(I27),ISNUMBER(H28)),IF(I27&gt;H28,3,IF(I27=H28,1,0)),0)</f>
        <v>0</v>
      </c>
      <c r="Q27" s="110">
        <f>IF(AND(ISNUMBER(J27),ISNUMBER(H29)),IF(J27&gt;H29,3,IF(J27=H29,1,0)),0)</f>
        <v>3</v>
      </c>
      <c r="R27" s="139">
        <f>IF(AND(ISNUMBER(K27),ISNUMBER(H30)),IF(K27&gt;H30,3,IF(K27=H30,1,0)),0)</f>
        <v>3</v>
      </c>
      <c r="S27" s="111"/>
      <c r="U27" s="110">
        <v>1</v>
      </c>
      <c r="V27" s="140" t="str">
        <f>testo!B19</f>
        <v>HAPPY DAYS</v>
      </c>
      <c r="W27" s="110">
        <f>IF(COUNT(H27:K27)=COUNT(H27:H30),COUNT(H27:H30),"")</f>
        <v>3</v>
      </c>
      <c r="X27" s="110">
        <f>SUM(O27:R27)</f>
        <v>6</v>
      </c>
      <c r="Y27" s="110">
        <f>SUM(H27:K27)</f>
        <v>19</v>
      </c>
      <c r="Z27" s="110">
        <f>SUM(H27:H30)</f>
        <v>10</v>
      </c>
      <c r="AA27" s="139">
        <f>Y27-Z27</f>
        <v>9</v>
      </c>
      <c r="AB27" s="111"/>
      <c r="AD27" s="141">
        <f>BB27</f>
        <v>2</v>
      </c>
      <c r="AE27" s="111"/>
      <c r="AG27" s="142">
        <f>X27*10000+AA27*100+Y27</f>
        <v>60919</v>
      </c>
      <c r="AH27" s="143">
        <f>COUNTIF(AG27:AG30,AG27)</f>
        <v>1</v>
      </c>
      <c r="AI27" s="143" t="str">
        <f>IF(AH27=1,"x","")</f>
        <v>x</v>
      </c>
      <c r="AJ27" s="111"/>
      <c r="AK27" s="112"/>
      <c r="AL27" s="144">
        <f>IF(AI27="x",1,IF(AG28=AG27,2,IF(AG29=AG27,3,4)))</f>
        <v>1</v>
      </c>
      <c r="AM27" s="143">
        <f>INDEX(O27:R27,1,AL27)</f>
        <v>0</v>
      </c>
      <c r="AN27" s="145">
        <f>IF(OR(AH31=2,AH31=4),AM27/10,0)</f>
        <v>0</v>
      </c>
      <c r="AO27" s="111"/>
      <c r="AP27" s="112"/>
      <c r="AQ27" s="112"/>
      <c r="AR27" s="146">
        <f>X27-INDEX(O27:R27,1,AQ26)</f>
        <v>6</v>
      </c>
      <c r="AS27" s="142">
        <f>AA27-(INDEX(H27:K27,1,AQ26)-INDEX(H27:H30,AQ26,1))</f>
        <v>9</v>
      </c>
      <c r="AT27" s="147">
        <f>Y27-INDEX(H27:K27,1,AQ26)</f>
        <v>19</v>
      </c>
      <c r="AU27" s="148">
        <f>IF(OR(AH31&lt;&gt;3,AI27="x"),0,AR27/10+AS27/1000+AT27/100000)</f>
        <v>0</v>
      </c>
      <c r="AV27" s="111"/>
      <c r="AW27" s="112"/>
      <c r="AX27" s="149">
        <f>AG27+AN27+AU27</f>
        <v>60919</v>
      </c>
      <c r="AY27" s="150">
        <f>IF(INDEX(AX27:AX30,U27)&gt;=INDEX(AX27:AX30,U28),U27,U28)</f>
        <v>2</v>
      </c>
      <c r="AZ27" s="147">
        <f>IF(INDEX(AX27:AX30,AY27)&gt;=INDEX(AX27:AX30,AY29),AY27,AY29)</f>
        <v>2</v>
      </c>
      <c r="BA27" s="143">
        <f>IF(INDEX(AX27:AX30,AZ27)&gt;=INDEX(AX27:AX30,AZ30),AZ27,AZ30)</f>
        <v>2</v>
      </c>
      <c r="BB27" s="151">
        <f>MATCH(U27,BA27:BA30,0)</f>
        <v>2</v>
      </c>
      <c r="BC27" s="147">
        <f>COUNTIF(AX27:AX30,AX27)</f>
        <v>1</v>
      </c>
      <c r="BD27" s="143" t="str">
        <f>IF(BC27=1,"x","")</f>
        <v>x</v>
      </c>
      <c r="BE27" s="143">
        <f>(BD27="x")*BB27</f>
        <v>2</v>
      </c>
      <c r="BZ27" s="113"/>
      <c r="CA27" s="113"/>
      <c r="CK27" s="113"/>
      <c r="CL27" s="113"/>
      <c r="CO27" s="113"/>
      <c r="CP27" s="113"/>
      <c r="CQ27" s="113"/>
      <c r="CR27" s="113"/>
      <c r="CS27" s="113"/>
      <c r="CW27" s="113"/>
      <c r="CX27" s="113"/>
      <c r="CY27" s="113"/>
      <c r="CZ27" s="113"/>
      <c r="DA27" s="113"/>
      <c r="DB27" s="113"/>
      <c r="DC27" s="113"/>
    </row>
    <row r="28" spans="1:107" ht="10.5">
      <c r="A28" s="122" t="str">
        <f>GIRONE!D17</f>
        <v>DE STEFANI</v>
      </c>
      <c r="B28" s="123">
        <f>IF(ISNUMBER(GIRONE!E17),GIRONE!E17,"")</f>
        <v>3</v>
      </c>
      <c r="C28" s="123">
        <f>IF(ISNUMBER(GIRONE!G17),GIRONE!G17,"")</f>
        <v>4</v>
      </c>
      <c r="D28" s="124" t="str">
        <f>GIRONE!H17</f>
        <v>VILLA PARK</v>
      </c>
      <c r="E28" s="111"/>
      <c r="G28" s="152" t="str">
        <f>testo!A20</f>
        <v>VIL</v>
      </c>
      <c r="H28" s="113">
        <f>C27</f>
        <v>5</v>
      </c>
      <c r="I28" s="136"/>
      <c r="J28" s="113">
        <f>B31</f>
        <v>4</v>
      </c>
      <c r="K28" s="137">
        <f>C28</f>
        <v>4</v>
      </c>
      <c r="L28" s="111"/>
      <c r="N28" s="152" t="str">
        <f>testo!A20</f>
        <v>VIL</v>
      </c>
      <c r="O28" s="110">
        <f>IF(AND(ISNUMBER(H28),ISNUMBER(I27)),IF(H28&gt;I27,3,IF(H28=I27,1,0)),0)</f>
        <v>3</v>
      </c>
      <c r="P28" s="138"/>
      <c r="Q28" s="110">
        <f>IF(AND(ISNUMBER(J28),ISNUMBER(I29)),IF(J28&gt;I29,3,IF(J28=I29,1,0)),0)</f>
        <v>3</v>
      </c>
      <c r="R28" s="139">
        <f>IF(AND(ISNUMBER(K28),ISNUMBER(I30)),IF(K28&gt;I30,3,IF(K28=I30,1,0)),0)</f>
        <v>3</v>
      </c>
      <c r="S28" s="111"/>
      <c r="U28" s="110">
        <v>2</v>
      </c>
      <c r="V28" s="140" t="str">
        <f>testo!B20</f>
        <v>VILLA PARK</v>
      </c>
      <c r="W28" s="110">
        <f>IF(COUNT(H28:K28)=COUNT(I27:I30),COUNT(I27:I30),"")</f>
        <v>3</v>
      </c>
      <c r="X28" s="110">
        <f>SUM(O28:R28)</f>
        <v>9</v>
      </c>
      <c r="Y28" s="110">
        <f>SUM(H28:K28)</f>
        <v>13</v>
      </c>
      <c r="Z28" s="110">
        <f>SUM(I27:I30)</f>
        <v>4</v>
      </c>
      <c r="AA28" s="139">
        <f>Y28-Z28</f>
        <v>9</v>
      </c>
      <c r="AB28" s="111"/>
      <c r="AD28" s="153">
        <f>BB28</f>
        <v>1</v>
      </c>
      <c r="AE28" s="111"/>
      <c r="AG28" s="154">
        <f>X28*10000+AA28*100+Y28</f>
        <v>90913</v>
      </c>
      <c r="AH28" s="139">
        <f>COUNTIF(AG27:AG30,AG28)</f>
        <v>1</v>
      </c>
      <c r="AI28" s="139" t="str">
        <f>IF(AH28=1,"x","")</f>
        <v>x</v>
      </c>
      <c r="AJ28" s="111"/>
      <c r="AK28" s="112"/>
      <c r="AL28" s="155">
        <f>IF(AI28="x",2,IF(AG29=AG28,3,IF(AG30=AG28,4,1)))</f>
        <v>2</v>
      </c>
      <c r="AM28" s="139">
        <f>INDEX(O28:R28,1,AL28)</f>
        <v>0</v>
      </c>
      <c r="AN28" s="156">
        <f>IF(OR(AH31=2,AH31=4),AM28/10,0)</f>
        <v>0</v>
      </c>
      <c r="AO28" s="111"/>
      <c r="AP28" s="112"/>
      <c r="AQ28" s="112"/>
      <c r="AR28" s="157">
        <f>X28-INDEX(O28:R28,1,AQ26)</f>
        <v>6</v>
      </c>
      <c r="AS28" s="154">
        <f>AA28-(INDEX(H28:K28,1,AQ26)-INDEX(I27:I30,AQ26))</f>
        <v>5</v>
      </c>
      <c r="AT28" s="110">
        <f>Y28-INDEX(H28:K28,1,AQ26)</f>
        <v>8</v>
      </c>
      <c r="AU28" s="158">
        <f>IF(OR(AH31&lt;&gt;3,AI28="x"),0,AR28/10+AS28/1000+AT28/100000)</f>
        <v>0</v>
      </c>
      <c r="AV28" s="111"/>
      <c r="AW28" s="112"/>
      <c r="AX28" s="159">
        <f>AG28+AN28+AU28</f>
        <v>90913</v>
      </c>
      <c r="AY28" s="113">
        <f>IF(INDEX(AX27:AX30,U28)&lt;=INDEX(AX27:AX30,U27),U28,U27)</f>
        <v>1</v>
      </c>
      <c r="AZ28" s="110">
        <f>IF(INDEX(AX27:AX30,AY28)&gt;=INDEX(AX27:AX30,AY30),AY28,AY30)</f>
        <v>1</v>
      </c>
      <c r="BA28" s="139">
        <f>IF(INDEX(AX27:AX30,AZ28)&gt;=INDEX(AX27:AX30,AZ29),AZ28,AZ29)</f>
        <v>1</v>
      </c>
      <c r="BB28" s="160">
        <f>MATCH(U28,BA27:BA30,0)</f>
        <v>1</v>
      </c>
      <c r="BC28" s="110">
        <f>COUNTIF(AX27:AX30,AX28)</f>
        <v>1</v>
      </c>
      <c r="BD28" s="139" t="str">
        <f>IF(BC28=1,"x","")</f>
        <v>x</v>
      </c>
      <c r="BE28" s="139">
        <f>(BD28="x")*BB28</f>
        <v>1</v>
      </c>
      <c r="BZ28" s="113"/>
      <c r="CA28" s="113"/>
      <c r="CK28" s="113"/>
      <c r="CL28" s="113"/>
      <c r="CO28" s="113"/>
      <c r="CP28" s="113"/>
      <c r="CQ28" s="113"/>
      <c r="CR28" s="113"/>
      <c r="CS28" s="113"/>
      <c r="CW28" s="113"/>
      <c r="CX28" s="113"/>
      <c r="CY28" s="113"/>
      <c r="CZ28" s="113"/>
      <c r="DA28" s="113"/>
      <c r="DB28" s="113"/>
      <c r="DC28" s="113"/>
    </row>
    <row r="29" spans="1:107" ht="10.5">
      <c r="A29" s="122" t="str">
        <f>GIRONE!D18</f>
        <v>HAPPY DAYS</v>
      </c>
      <c r="B29" s="123">
        <f>IF(ISNUMBER(GIRONE!E18),GIRONE!E18,"")</f>
        <v>13</v>
      </c>
      <c r="C29" s="123">
        <f>IF(ISNUMBER(GIRONE!G18),GIRONE!G18,"")</f>
        <v>1</v>
      </c>
      <c r="D29" s="124" t="str">
        <f>GIRONE!H18</f>
        <v>ROSSI SRL</v>
      </c>
      <c r="E29" s="111"/>
      <c r="G29" s="152" t="str">
        <f>testo!A21</f>
        <v>ROS</v>
      </c>
      <c r="H29" s="113">
        <f>C29</f>
        <v>1</v>
      </c>
      <c r="I29" s="113">
        <f>C31</f>
        <v>0</v>
      </c>
      <c r="J29" s="136"/>
      <c r="K29" s="137">
        <f>B26</f>
        <v>2</v>
      </c>
      <c r="L29" s="111"/>
      <c r="N29" s="152" t="str">
        <f>testo!A21</f>
        <v>ROS</v>
      </c>
      <c r="O29" s="110">
        <f>IF(AND(ISNUMBER(H29),ISNUMBER(J27)),IF(H29&gt;J27,3,IF(H29=J27,1,0)),0)</f>
        <v>0</v>
      </c>
      <c r="P29" s="110">
        <f>IF(AND(ISNUMBER(I29),ISNUMBER(J28)),IF(I29&gt;J28,3,IF(I29=J28,1,0)),0)</f>
        <v>0</v>
      </c>
      <c r="Q29" s="138"/>
      <c r="R29" s="139">
        <f>IF(AND(ISNUMBER(K29),ISNUMBER(J30)),IF(K29&gt;J30,3,IF(K29=J30,1,0)),0)</f>
        <v>0</v>
      </c>
      <c r="S29" s="111"/>
      <c r="U29" s="110">
        <v>3</v>
      </c>
      <c r="V29" s="140" t="str">
        <f>testo!B21</f>
        <v>ROSSI SRL</v>
      </c>
      <c r="W29" s="110">
        <f>IF(COUNT(H29:K29)=COUNT(J27:J30),COUNT(J27:J30),"")</f>
        <v>3</v>
      </c>
      <c r="X29" s="110">
        <f>SUM(O29:R29)</f>
        <v>0</v>
      </c>
      <c r="Y29" s="110">
        <f>SUM(H29:K29)</f>
        <v>3</v>
      </c>
      <c r="Z29" s="110">
        <f>SUM(J27:J30)</f>
        <v>22</v>
      </c>
      <c r="AA29" s="139">
        <f>Y29-Z29</f>
        <v>-19</v>
      </c>
      <c r="AB29" s="111"/>
      <c r="AD29" s="153">
        <f>BB29</f>
        <v>4</v>
      </c>
      <c r="AE29" s="111"/>
      <c r="AG29" s="154">
        <f>X29*10000+AA29*100+Y29</f>
        <v>-1897</v>
      </c>
      <c r="AH29" s="139">
        <f>COUNTIF(AG27:AG30,AG29)</f>
        <v>1</v>
      </c>
      <c r="AI29" s="139" t="str">
        <f>IF(AH29=1,"x","")</f>
        <v>x</v>
      </c>
      <c r="AJ29" s="111"/>
      <c r="AK29" s="112"/>
      <c r="AL29" s="155">
        <f>IF(AI29="x",3,IF(AG30=AG29,4,IF(AG28=AG29,2,1)))</f>
        <v>3</v>
      </c>
      <c r="AM29" s="139">
        <f>INDEX(O29:R29,1,AL29)</f>
        <v>0</v>
      </c>
      <c r="AN29" s="156">
        <f>IF(OR(AH31=2,AH31=4),AM29/10,0)</f>
        <v>0</v>
      </c>
      <c r="AO29" s="111"/>
      <c r="AP29" s="112"/>
      <c r="AQ29" s="112"/>
      <c r="AR29" s="157">
        <f>X29-INDEX(O29:R29,1,AQ26)</f>
        <v>0</v>
      </c>
      <c r="AS29" s="154">
        <f>AA29-(INDEX(H29:K29,1,AQ26)-INDEX(J27:J30,AQ26))</f>
        <v>-7</v>
      </c>
      <c r="AT29" s="110">
        <f>Y29-INDEX(H29:K29,1,AQ26)</f>
        <v>2</v>
      </c>
      <c r="AU29" s="158">
        <f>IF(OR(AH31&lt;&gt;3,AI29="x"),0,AR29/10+AS29/1000+AT29/100000)</f>
        <v>0</v>
      </c>
      <c r="AV29" s="111"/>
      <c r="AW29" s="112"/>
      <c r="AX29" s="159">
        <f>AG29+AN29+AU29</f>
        <v>-1897</v>
      </c>
      <c r="AY29" s="113">
        <f>IF(INDEX(AX27:AX30,U29)&gt;=INDEX(AX27:AX30,U30),U29,U30)</f>
        <v>4</v>
      </c>
      <c r="AZ29" s="110">
        <f>IF(INDEX(AX27:AX30,AY29)&lt;=INDEX(AX27:AX30,AY27),AY29,AY27)</f>
        <v>4</v>
      </c>
      <c r="BA29" s="139">
        <f>IF(INDEX(AX27:AX30,AZ29)&lt;=INDEX(AX27:AX30,AZ28),AZ29,AZ28)</f>
        <v>4</v>
      </c>
      <c r="BB29" s="160">
        <f>MATCH(U29,BA27:BA30,0)</f>
        <v>4</v>
      </c>
      <c r="BC29" s="110">
        <f>COUNTIF(AX27:AX30,AX29)</f>
        <v>1</v>
      </c>
      <c r="BD29" s="139" t="str">
        <f>IF(BC29=1,"x","")</f>
        <v>x</v>
      </c>
      <c r="BE29" s="139">
        <f>(BD29="x")*BB29</f>
        <v>4</v>
      </c>
      <c r="BZ29" s="113"/>
      <c r="CA29" s="113"/>
      <c r="CK29" s="113"/>
      <c r="CL29" s="113"/>
      <c r="CO29" s="113"/>
      <c r="CP29" s="113"/>
      <c r="CQ29" s="113"/>
      <c r="CR29" s="113"/>
      <c r="CS29" s="113"/>
      <c r="CW29" s="113"/>
      <c r="CX29" s="113"/>
      <c r="CY29" s="113"/>
      <c r="CZ29" s="113"/>
      <c r="DA29" s="113"/>
      <c r="DB29" s="113"/>
      <c r="DC29" s="113"/>
    </row>
    <row r="30" spans="1:107" ht="10.5">
      <c r="A30" s="122" t="str">
        <f>GIRONE!D19</f>
        <v>HAPPY DAYS</v>
      </c>
      <c r="B30" s="123">
        <f>IF(ISNUMBER(GIRONE!E19),GIRONE!E19,"")</f>
        <v>5</v>
      </c>
      <c r="C30" s="123">
        <f>IF(ISNUMBER(GIRONE!G19),GIRONE!G19,"")</f>
        <v>4</v>
      </c>
      <c r="D30" s="124" t="str">
        <f>GIRONE!H19</f>
        <v>DE STEFANI</v>
      </c>
      <c r="E30" s="161"/>
      <c r="F30" s="113"/>
      <c r="G30" s="152" t="str">
        <f>testo!A22</f>
        <v>DES</v>
      </c>
      <c r="H30" s="162">
        <f>C30</f>
        <v>4</v>
      </c>
      <c r="I30" s="162">
        <f>B28</f>
        <v>3</v>
      </c>
      <c r="J30" s="162">
        <f>C26</f>
        <v>5</v>
      </c>
      <c r="K30" s="163"/>
      <c r="L30" s="161"/>
      <c r="M30" s="113"/>
      <c r="N30" s="152" t="str">
        <f>testo!A22</f>
        <v>DES</v>
      </c>
      <c r="O30" s="164">
        <f>IF(AND(ISNUMBER(H30),ISNUMBER(K27)),IF(H30&gt;K27,3,IF(H30=K27,1,0)),0)</f>
        <v>0</v>
      </c>
      <c r="P30" s="164">
        <f>IF(AND(ISNUMBER(I30),ISNUMBER(K28)),IF(I30&gt;K28,3,IF(I30=K28,1,0)),0)</f>
        <v>0</v>
      </c>
      <c r="Q30" s="164">
        <f>IF(AND(ISNUMBER(J30),ISNUMBER(K29)),IF(J30&gt;K29,3,IF(J30=K29,1,0)),0)</f>
        <v>3</v>
      </c>
      <c r="R30" s="165"/>
      <c r="S30" s="161"/>
      <c r="T30" s="113"/>
      <c r="U30" s="110">
        <v>4</v>
      </c>
      <c r="V30" s="140" t="str">
        <f>testo!B22</f>
        <v>DE STEFANI</v>
      </c>
      <c r="W30" s="164">
        <f>IF(COUNT(H30:K30)=COUNT(K27:K30),COUNT(K27:K30),"")</f>
        <v>3</v>
      </c>
      <c r="X30" s="164">
        <f>SUM(O30:R30)</f>
        <v>3</v>
      </c>
      <c r="Y30" s="164">
        <f>SUM(H30:K30)</f>
        <v>12</v>
      </c>
      <c r="Z30" s="164">
        <f>SUM(K27:K30)</f>
        <v>11</v>
      </c>
      <c r="AA30" s="166">
        <f>Y30-Z30</f>
        <v>1</v>
      </c>
      <c r="AB30" s="167"/>
      <c r="AC30" s="113"/>
      <c r="AD30" s="168">
        <f>BB30</f>
        <v>3</v>
      </c>
      <c r="AE30" s="161"/>
      <c r="AF30" s="113"/>
      <c r="AG30" s="169">
        <f>X30*10000+AA30*100+Y30</f>
        <v>30112</v>
      </c>
      <c r="AH30" s="166">
        <f>COUNTIF(AG27:AG30,AG30)</f>
        <v>1</v>
      </c>
      <c r="AI30" s="166" t="str">
        <f>IF(AH30=1,"x","")</f>
        <v>x</v>
      </c>
      <c r="AJ30" s="167"/>
      <c r="AL30" s="170">
        <f>IF(AI30="x",4,IF(AG27=AG30,1,IF(AG28=AG30,2,3)))</f>
        <v>4</v>
      </c>
      <c r="AM30" s="166">
        <f>INDEX(O30:R30,1,AL30)</f>
        <v>0</v>
      </c>
      <c r="AN30" s="171">
        <f>IF(OR(AH31=2,AH31=4),AM30/10,0)</f>
        <v>0</v>
      </c>
      <c r="AO30" s="167"/>
      <c r="AR30" s="172">
        <f>X30-INDEX(O30:R30,1,AQ26)</f>
        <v>3</v>
      </c>
      <c r="AS30" s="169">
        <f>AA30-(INDEX(H30:K30,1,AQ26)-INDEX(K27:K30,AQ26))</f>
        <v>2</v>
      </c>
      <c r="AT30" s="164">
        <f>Y30-INDEX(H30:K30,1,AQ26)</f>
        <v>8</v>
      </c>
      <c r="AU30" s="173">
        <f>IF(OR(AH31&lt;&gt;3,AI30="x"),0,AR30/10+AS30/1000+AT30/100000)</f>
        <v>0</v>
      </c>
      <c r="AV30" s="167"/>
      <c r="AX30" s="174">
        <f>AG30+AN30+AU30</f>
        <v>30112</v>
      </c>
      <c r="AY30" s="162">
        <f>IF(INDEX(AX27:AX30,U30)&lt;=INDEX(AX27:AX30,U29),U30,U29)</f>
        <v>3</v>
      </c>
      <c r="AZ30" s="164">
        <f>IF(INDEX(AX27:AX30,AY30)&lt;=INDEX(AX27:AX30,AY28),AY30,AY28)</f>
        <v>3</v>
      </c>
      <c r="BA30" s="166">
        <f>IF(INDEX(AX27:AX30,AZ30)&lt;=INDEX(AX27:AX30,AZ27),AZ30,AZ27)</f>
        <v>3</v>
      </c>
      <c r="BB30" s="175">
        <f>MATCH(U30,BA27:BA30,0)</f>
        <v>3</v>
      </c>
      <c r="BC30" s="164">
        <f>COUNTIF(AX27:AX30,AX30)</f>
        <v>1</v>
      </c>
      <c r="BD30" s="166" t="str">
        <f>IF(BC30=1,"x","")</f>
        <v>x</v>
      </c>
      <c r="BE30" s="139">
        <f>(BD30="x")*BB30</f>
        <v>3</v>
      </c>
      <c r="BZ30" s="113"/>
      <c r="CA30" s="113"/>
      <c r="CK30" s="113"/>
      <c r="CL30" s="113"/>
      <c r="CO30" s="113"/>
      <c r="CP30" s="113"/>
      <c r="CQ30" s="113"/>
      <c r="CR30" s="113"/>
      <c r="CS30" s="113"/>
      <c r="CW30" s="113"/>
      <c r="CX30" s="113"/>
      <c r="CY30" s="113"/>
      <c r="CZ30" s="113"/>
      <c r="DA30" s="113"/>
      <c r="DB30" s="113"/>
      <c r="DC30" s="113"/>
    </row>
    <row r="31" spans="1:107" ht="10.5">
      <c r="A31" s="122" t="str">
        <f>GIRONE!D20</f>
        <v>VILLA PARK</v>
      </c>
      <c r="B31" s="123">
        <f>IF(ISNUMBER(GIRONE!E20),GIRONE!E20,"")</f>
        <v>4</v>
      </c>
      <c r="C31" s="123">
        <f>IF(ISNUMBER(GIRONE!G20),GIRONE!G20,"")</f>
        <v>0</v>
      </c>
      <c r="D31" s="124" t="str">
        <f>GIRONE!H20</f>
        <v>ROSSI SRL</v>
      </c>
      <c r="E31" s="111"/>
      <c r="L31" s="111"/>
      <c r="S31" s="111"/>
      <c r="V31" s="176" t="s">
        <v>41</v>
      </c>
      <c r="W31" s="110" t="b">
        <f>SUM(W27:W30)=12</f>
        <v>1</v>
      </c>
      <c r="AB31" s="111"/>
      <c r="AD31" s="168" t="str">
        <f>BF31</f>
        <v>Classifica pulita</v>
      </c>
      <c r="AE31" s="111"/>
      <c r="AG31" s="177" t="s">
        <v>42</v>
      </c>
      <c r="AH31" s="166">
        <f>MOD(MIN(AH27:AH30)*MAX(AH27:AH30),11)</f>
        <v>1</v>
      </c>
      <c r="AJ31" s="111"/>
      <c r="AK31" s="112"/>
      <c r="AL31" s="112"/>
      <c r="AN31" s="113"/>
      <c r="AO31" s="111"/>
      <c r="AP31" s="112"/>
      <c r="AQ31" s="112"/>
      <c r="AR31" s="113"/>
      <c r="AS31" s="113"/>
      <c r="AV31" s="111"/>
      <c r="AW31" s="112"/>
      <c r="AX31" s="113"/>
      <c r="AY31" s="113"/>
      <c r="BD31" s="178">
        <f>COUNTIF(BD27:BD30,"x")</f>
        <v>4</v>
      </c>
      <c r="BE31" s="179">
        <f>SUM(BE27:BE30)</f>
        <v>10</v>
      </c>
      <c r="BF31" s="179" t="str">
        <f>IF(W31,IF(BD31&gt;=3,testo!B$71,IF(AND(BD31=2,BE31=3),testo!B$72,testo!B$73)),"")</f>
        <v>Classifica pulita</v>
      </c>
      <c r="BZ31" s="113"/>
      <c r="CA31" s="113"/>
      <c r="CK31" s="113"/>
      <c r="CL31" s="113"/>
      <c r="CO31" s="113"/>
      <c r="CP31" s="113"/>
      <c r="CQ31" s="113"/>
      <c r="CR31" s="113"/>
      <c r="CS31" s="113"/>
      <c r="CW31" s="113"/>
      <c r="CX31" s="113"/>
      <c r="CY31" s="113"/>
      <c r="CZ31" s="113"/>
      <c r="DA31" s="113"/>
      <c r="DB31" s="113"/>
      <c r="DC31" s="113"/>
    </row>
    <row r="36" spans="1:107" ht="10.5">
      <c r="A36" s="121" t="str">
        <f>testo!B26</f>
        <v>GIRONE D</v>
      </c>
      <c r="E36" s="111"/>
      <c r="L36" s="111"/>
      <c r="S36" s="111"/>
      <c r="AB36" s="111"/>
      <c r="AE36" s="111"/>
      <c r="AG36" s="114"/>
      <c r="AH36" s="114"/>
      <c r="AJ36" s="111"/>
      <c r="AK36" s="112"/>
      <c r="AL36" s="114"/>
      <c r="AM36" s="114"/>
      <c r="AN36" s="114"/>
      <c r="AO36" s="111"/>
      <c r="AP36" s="112"/>
      <c r="AQ36" s="114"/>
      <c r="AR36" s="361"/>
      <c r="AS36" s="361"/>
      <c r="AT36" s="361"/>
      <c r="AU36" s="114"/>
      <c r="AV36" s="111"/>
      <c r="AW36" s="112"/>
      <c r="AX36" s="113"/>
      <c r="AY36" s="362"/>
      <c r="AZ36" s="362"/>
      <c r="BA36" s="362"/>
      <c r="BB36" s="121"/>
      <c r="BC36" s="361"/>
      <c r="BD36" s="361"/>
      <c r="BE36" s="361"/>
      <c r="BZ36" s="113"/>
      <c r="CA36" s="113"/>
      <c r="CK36" s="113"/>
      <c r="CL36" s="113"/>
      <c r="CO36" s="113"/>
      <c r="CP36" s="113"/>
      <c r="CQ36" s="113"/>
      <c r="CR36" s="113"/>
      <c r="CS36" s="113"/>
      <c r="CW36" s="113"/>
      <c r="CX36" s="113"/>
      <c r="CY36" s="113"/>
      <c r="CZ36" s="113"/>
      <c r="DA36" s="113"/>
      <c r="DB36" s="113"/>
      <c r="DC36" s="113"/>
    </row>
    <row r="37" spans="1:107" ht="17.25">
      <c r="A37" s="122" t="str">
        <f>GIRONE!D21</f>
        <v>TRIAL</v>
      </c>
      <c r="B37" s="123">
        <f>IF(ISNUMBER(GIRONE!E21),GIRONE!E21,"")</f>
        <v>16</v>
      </c>
      <c r="C37" s="123">
        <f>IF(ISNUMBER(GIRONE!G21),GIRONE!G21,"")</f>
        <v>0</v>
      </c>
      <c r="D37" s="124" t="str">
        <f>GIRONE!H21</f>
        <v>CARROZZERIA FORLIVESE</v>
      </c>
      <c r="E37" s="125"/>
      <c r="F37" s="126"/>
      <c r="G37" s="127">
        <f>SUM(H38:K41)</f>
        <v>65</v>
      </c>
      <c r="H37" s="128" t="str">
        <f>testo!A27</f>
        <v>TRI</v>
      </c>
      <c r="I37" s="129" t="str">
        <f>testo!A28</f>
        <v>CAR</v>
      </c>
      <c r="J37" s="129" t="str">
        <f>testo!A29</f>
        <v>CTR</v>
      </c>
      <c r="K37" s="129" t="str">
        <f>testo!A30</f>
        <v>CAF</v>
      </c>
      <c r="L37" s="125"/>
      <c r="M37" s="126"/>
      <c r="N37" s="127">
        <f>SUM(O38:R41)</f>
        <v>18</v>
      </c>
      <c r="O37" s="128" t="str">
        <f>testo!A27</f>
        <v>TRI</v>
      </c>
      <c r="P37" s="129" t="str">
        <f>testo!A28</f>
        <v>CAR</v>
      </c>
      <c r="Q37" s="129" t="str">
        <f>testo!A29</f>
        <v>CTR</v>
      </c>
      <c r="R37" s="129" t="str">
        <f>testo!A30</f>
        <v>CAF</v>
      </c>
      <c r="S37" s="125"/>
      <c r="T37" s="126"/>
      <c r="W37" s="131" t="s">
        <v>40</v>
      </c>
      <c r="X37" s="132" t="str">
        <f>testo!A$65</f>
        <v>Pt</v>
      </c>
      <c r="Y37" s="132" t="str">
        <f>testo!A$66</f>
        <v>GF</v>
      </c>
      <c r="Z37" s="132" t="str">
        <f>testo!A$67</f>
        <v>GS</v>
      </c>
      <c r="AA37" s="133" t="str">
        <f>testo!A$68</f>
        <v>DR</v>
      </c>
      <c r="AB37" s="125"/>
      <c r="AC37" s="126"/>
      <c r="AE37" s="125"/>
      <c r="AF37" s="126"/>
      <c r="AG37" s="113"/>
      <c r="AJ37" s="125"/>
      <c r="AK37" s="126"/>
      <c r="AL37" s="126"/>
      <c r="AN37" s="113"/>
      <c r="AO37" s="125"/>
      <c r="AP37" s="126"/>
      <c r="AQ37" s="134">
        <f>MATCH(1,AH38:AH41,0)</f>
        <v>1</v>
      </c>
      <c r="AR37" s="113"/>
      <c r="AS37" s="113"/>
      <c r="AV37" s="125"/>
      <c r="AW37" s="126"/>
      <c r="AX37" s="114"/>
      <c r="AY37" s="113"/>
      <c r="BZ37" s="113"/>
      <c r="CA37" s="113"/>
      <c r="CK37" s="113"/>
      <c r="CL37" s="113"/>
      <c r="CO37" s="113"/>
      <c r="CP37" s="113"/>
      <c r="CQ37" s="113"/>
      <c r="CR37" s="113"/>
      <c r="CS37" s="113"/>
      <c r="CW37" s="113"/>
      <c r="CX37" s="113"/>
      <c r="CY37" s="113"/>
      <c r="CZ37" s="113"/>
      <c r="DA37" s="113"/>
      <c r="DB37" s="113"/>
      <c r="DC37" s="113"/>
    </row>
    <row r="38" spans="1:107" ht="10.5">
      <c r="A38" s="122" t="str">
        <f>GIRONE!D22</f>
        <v>CTR</v>
      </c>
      <c r="B38" s="123">
        <f>IF(ISNUMBER(GIRONE!E22),GIRONE!E22,"")</f>
        <v>3</v>
      </c>
      <c r="C38" s="123">
        <f>IF(ISNUMBER(GIRONE!G22),GIRONE!G22,"")</f>
        <v>9</v>
      </c>
      <c r="D38" s="124" t="str">
        <f>GIRONE!H22</f>
        <v>CAFFE FARINI</v>
      </c>
      <c r="E38" s="111"/>
      <c r="G38" s="135" t="str">
        <f>testo!A27</f>
        <v>TRI</v>
      </c>
      <c r="H38" s="136"/>
      <c r="I38" s="113">
        <f>B37</f>
        <v>16</v>
      </c>
      <c r="J38" s="113">
        <f>B40</f>
        <v>13</v>
      </c>
      <c r="K38" s="137">
        <f>B41</f>
        <v>9</v>
      </c>
      <c r="L38" s="111"/>
      <c r="N38" s="135" t="str">
        <f>testo!A27</f>
        <v>TRI</v>
      </c>
      <c r="O38" s="138"/>
      <c r="P38" s="110">
        <f>IF(AND(ISNUMBER(I38),ISNUMBER(H39)),IF(I38&gt;H39,3,IF(I38=H39,1,0)),0)</f>
        <v>3</v>
      </c>
      <c r="Q38" s="110">
        <f>IF(AND(ISNUMBER(J38),ISNUMBER(H40)),IF(J38&gt;H40,3,IF(J38=H40,1,0)),0)</f>
        <v>3</v>
      </c>
      <c r="R38" s="139">
        <f>IF(AND(ISNUMBER(K38),ISNUMBER(H41)),IF(K38&gt;H41,3,IF(K38=H41,1,0)),0)</f>
        <v>3</v>
      </c>
      <c r="S38" s="111"/>
      <c r="U38" s="110">
        <v>1</v>
      </c>
      <c r="V38" s="140" t="str">
        <f>testo!B27</f>
        <v>TRIAL</v>
      </c>
      <c r="W38" s="110">
        <f>IF(COUNT(H38:K38)=COUNT(H38:H41),COUNT(H38:H41),"")</f>
        <v>3</v>
      </c>
      <c r="X38" s="110">
        <f>SUM(O38:R38)</f>
        <v>9</v>
      </c>
      <c r="Y38" s="110">
        <f>SUM(H38:K38)</f>
        <v>38</v>
      </c>
      <c r="Z38" s="110">
        <f>SUM(H38:H41)</f>
        <v>4</v>
      </c>
      <c r="AA38" s="139">
        <f>Y38-Z38</f>
        <v>34</v>
      </c>
      <c r="AB38" s="111"/>
      <c r="AD38" s="141">
        <f>BB38</f>
        <v>1</v>
      </c>
      <c r="AE38" s="111"/>
      <c r="AG38" s="142">
        <f>X38*10000+AA38*100+Y38</f>
        <v>93438</v>
      </c>
      <c r="AH38" s="143">
        <f>COUNTIF(AG38:AG41,AG38)</f>
        <v>1</v>
      </c>
      <c r="AI38" s="143" t="str">
        <f>IF(AH38=1,"x","")</f>
        <v>x</v>
      </c>
      <c r="AJ38" s="111"/>
      <c r="AK38" s="112"/>
      <c r="AL38" s="144">
        <f>IF(AI38="x",1,IF(AG39=AG38,2,IF(AG40=AG38,3,4)))</f>
        <v>1</v>
      </c>
      <c r="AM38" s="143">
        <f>INDEX(O38:R38,1,AL38)</f>
        <v>0</v>
      </c>
      <c r="AN38" s="145">
        <f>IF(OR(AH42=2,AH42=4),AM38/10,0)</f>
        <v>0</v>
      </c>
      <c r="AO38" s="111"/>
      <c r="AP38" s="112"/>
      <c r="AQ38" s="112"/>
      <c r="AR38" s="146">
        <f>X38-INDEX(O38:R38,1,AQ37)</f>
        <v>9</v>
      </c>
      <c r="AS38" s="142">
        <f>AA38-(INDEX(H38:K38,1,AQ37)-INDEX(H38:H41,AQ37,1))</f>
        <v>34</v>
      </c>
      <c r="AT38" s="147">
        <f>Y38-INDEX(H38:K38,1,AQ37)</f>
        <v>38</v>
      </c>
      <c r="AU38" s="148">
        <f>IF(OR(AH42&lt;&gt;3,AI38="x"),0,AR38/10+AS38/1000+AT38/100000)</f>
        <v>0</v>
      </c>
      <c r="AV38" s="111"/>
      <c r="AW38" s="112"/>
      <c r="AX38" s="149">
        <f>AG38+AN38+AU38</f>
        <v>93438</v>
      </c>
      <c r="AY38" s="150">
        <f>IF(INDEX(AX38:AX41,U38)&gt;=INDEX(AX38:AX41,U39),U38,U39)</f>
        <v>1</v>
      </c>
      <c r="AZ38" s="147">
        <f>IF(INDEX(AX38:AX41,AY38)&gt;=INDEX(AX38:AX41,AY40),AY38,AY40)</f>
        <v>1</v>
      </c>
      <c r="BA38" s="143">
        <f>IF(INDEX(AX38:AX41,AZ38)&gt;=INDEX(AX38:AX41,AZ41),AZ38,AZ41)</f>
        <v>1</v>
      </c>
      <c r="BB38" s="151">
        <f>MATCH(U38,BA38:BA41,0)</f>
        <v>1</v>
      </c>
      <c r="BC38" s="147">
        <f>COUNTIF(AX38:AX41,AX38)</f>
        <v>1</v>
      </c>
      <c r="BD38" s="143" t="str">
        <f>IF(BC38=1,"x","")</f>
        <v>x</v>
      </c>
      <c r="BE38" s="143">
        <f>(BD38="x")*BB38</f>
        <v>1</v>
      </c>
      <c r="BZ38" s="113"/>
      <c r="CA38" s="113"/>
      <c r="CK38" s="113"/>
      <c r="CL38" s="113"/>
      <c r="CO38" s="113"/>
      <c r="CP38" s="113"/>
      <c r="CQ38" s="113"/>
      <c r="CR38" s="113"/>
      <c r="CS38" s="113"/>
      <c r="CW38" s="113"/>
      <c r="CX38" s="113"/>
      <c r="CY38" s="113"/>
      <c r="CZ38" s="113"/>
      <c r="DA38" s="113"/>
      <c r="DB38" s="113"/>
      <c r="DC38" s="113"/>
    </row>
    <row r="39" spans="1:107" ht="10.5">
      <c r="A39" s="122" t="str">
        <f>GIRONE!D23</f>
        <v>CARROZZERIA FORLIVESE</v>
      </c>
      <c r="B39" s="123">
        <f>IF(ISNUMBER(GIRONE!E23),GIRONE!E23,"")</f>
        <v>0</v>
      </c>
      <c r="C39" s="123">
        <f>IF(ISNUMBER(GIRONE!G23),GIRONE!G23,"")</f>
        <v>7</v>
      </c>
      <c r="D39" s="124" t="str">
        <f>GIRONE!H23</f>
        <v>CAFFE FARINI</v>
      </c>
      <c r="E39" s="111"/>
      <c r="G39" s="152" t="str">
        <f>testo!A28</f>
        <v>CAR</v>
      </c>
      <c r="H39" s="113">
        <f>C37</f>
        <v>0</v>
      </c>
      <c r="I39" s="136"/>
      <c r="J39" s="113">
        <f>B42</f>
        <v>0</v>
      </c>
      <c r="K39" s="137">
        <f>B39</f>
        <v>0</v>
      </c>
      <c r="L39" s="111"/>
      <c r="N39" s="152" t="str">
        <f>testo!A28</f>
        <v>CAR</v>
      </c>
      <c r="O39" s="110">
        <f>IF(AND(ISNUMBER(H39),ISNUMBER(I38)),IF(H39&gt;I38,3,IF(H39=I38,1,0)),0)</f>
        <v>0</v>
      </c>
      <c r="P39" s="138"/>
      <c r="Q39" s="110">
        <f>IF(AND(ISNUMBER(J39),ISNUMBER(I40)),IF(J39&gt;I40,3,IF(J39=I40,1,0)),0)</f>
        <v>0</v>
      </c>
      <c r="R39" s="139">
        <f>IF(AND(ISNUMBER(K39),ISNUMBER(I41)),IF(K39&gt;I41,3,IF(K39=I41,1,0)),0)</f>
        <v>0</v>
      </c>
      <c r="S39" s="111"/>
      <c r="U39" s="110">
        <v>2</v>
      </c>
      <c r="V39" s="140" t="str">
        <f>testo!B28</f>
        <v>CARROZZERIA FORLIVESE</v>
      </c>
      <c r="W39" s="110">
        <f>IF(COUNT(H39:K39)=COUNT(I38:I41),COUNT(I38:I41),"")</f>
        <v>3</v>
      </c>
      <c r="X39" s="110">
        <f>SUM(O39:R39)</f>
        <v>0</v>
      </c>
      <c r="Y39" s="110">
        <f>SUM(H39:K39)</f>
        <v>0</v>
      </c>
      <c r="Z39" s="110">
        <f>SUM(I38:I41)</f>
        <v>27</v>
      </c>
      <c r="AA39" s="139">
        <f>Y39-Z39</f>
        <v>-27</v>
      </c>
      <c r="AB39" s="111"/>
      <c r="AD39" s="153">
        <f>BB39</f>
        <v>4</v>
      </c>
      <c r="AE39" s="111"/>
      <c r="AG39" s="154">
        <f>X39*10000+AA39*100+Y39</f>
        <v>-2700</v>
      </c>
      <c r="AH39" s="139">
        <f>COUNTIF(AG38:AG41,AG39)</f>
        <v>1</v>
      </c>
      <c r="AI39" s="139" t="str">
        <f>IF(AH39=1,"x","")</f>
        <v>x</v>
      </c>
      <c r="AJ39" s="111"/>
      <c r="AK39" s="112"/>
      <c r="AL39" s="155">
        <f>IF(AI39="x",2,IF(AG40=AG39,3,IF(AG41=AG39,4,1)))</f>
        <v>2</v>
      </c>
      <c r="AM39" s="139">
        <f>INDEX(O39:R39,1,AL39)</f>
        <v>0</v>
      </c>
      <c r="AN39" s="156">
        <f>IF(OR(AH42=2,AH42=4),AM39/10,0)</f>
        <v>0</v>
      </c>
      <c r="AO39" s="111"/>
      <c r="AP39" s="112"/>
      <c r="AQ39" s="112"/>
      <c r="AR39" s="157">
        <f>X39-INDEX(O39:R39,1,AQ37)</f>
        <v>0</v>
      </c>
      <c r="AS39" s="154">
        <f>AA39-(INDEX(H39:K39,1,AQ37)-INDEX(I38:I41,AQ37))</f>
        <v>-11</v>
      </c>
      <c r="AT39" s="110">
        <f>Y39-INDEX(H39:K39,1,AQ37)</f>
        <v>0</v>
      </c>
      <c r="AU39" s="158">
        <f>IF(OR(AH42&lt;&gt;3,AI39="x"),0,AR39/10+AS39/1000+AT39/100000)</f>
        <v>0</v>
      </c>
      <c r="AV39" s="111"/>
      <c r="AW39" s="112"/>
      <c r="AX39" s="159">
        <f>AG39+AN39+AU39</f>
        <v>-2700</v>
      </c>
      <c r="AY39" s="113">
        <f>IF(INDEX(AX38:AX41,U39)&lt;=INDEX(AX38:AX41,U38),U39,U38)</f>
        <v>2</v>
      </c>
      <c r="AZ39" s="110">
        <f>IF(INDEX(AX38:AX41,AY39)&gt;=INDEX(AX38:AX41,AY41),AY39,AY41)</f>
        <v>3</v>
      </c>
      <c r="BA39" s="139">
        <f>IF(INDEX(AX38:AX41,AZ39)&gt;=INDEX(AX38:AX41,AZ40),AZ39,AZ40)</f>
        <v>4</v>
      </c>
      <c r="BB39" s="160">
        <f>MATCH(U39,BA38:BA41,0)</f>
        <v>4</v>
      </c>
      <c r="BC39" s="110">
        <f>COUNTIF(AX38:AX41,AX39)</f>
        <v>1</v>
      </c>
      <c r="BD39" s="139" t="str">
        <f>IF(BC39=1,"x","")</f>
        <v>x</v>
      </c>
      <c r="BE39" s="139">
        <f>(BD39="x")*BB39</f>
        <v>4</v>
      </c>
      <c r="BZ39" s="113"/>
      <c r="CA39" s="113"/>
      <c r="CK39" s="113"/>
      <c r="CL39" s="113"/>
      <c r="CO39" s="113"/>
      <c r="CP39" s="113"/>
      <c r="CQ39" s="113"/>
      <c r="CR39" s="113"/>
      <c r="CS39" s="113"/>
      <c r="CW39" s="113"/>
      <c r="CX39" s="113"/>
      <c r="CY39" s="113"/>
      <c r="CZ39" s="113"/>
      <c r="DA39" s="113"/>
      <c r="DB39" s="113"/>
      <c r="DC39" s="113"/>
    </row>
    <row r="40" spans="1:107" ht="10.5">
      <c r="A40" s="122" t="str">
        <f>GIRONE!D24</f>
        <v>TRIAL</v>
      </c>
      <c r="B40" s="123">
        <f>IF(ISNUMBER(GIRONE!E24),GIRONE!E24,"")</f>
        <v>13</v>
      </c>
      <c r="C40" s="123">
        <f>IF(ISNUMBER(GIRONE!G24),GIRONE!G24,"")</f>
        <v>1</v>
      </c>
      <c r="D40" s="124" t="str">
        <f>GIRONE!H24</f>
        <v>CTR</v>
      </c>
      <c r="E40" s="111"/>
      <c r="G40" s="152" t="str">
        <f>testo!A29</f>
        <v>CTR</v>
      </c>
      <c r="H40" s="113">
        <f>C40</f>
        <v>1</v>
      </c>
      <c r="I40" s="113">
        <f>C42</f>
        <v>4</v>
      </c>
      <c r="J40" s="136"/>
      <c r="K40" s="137">
        <f>B38</f>
        <v>3</v>
      </c>
      <c r="L40" s="111"/>
      <c r="N40" s="152" t="str">
        <f>testo!A29</f>
        <v>CTR</v>
      </c>
      <c r="O40" s="110">
        <f>IF(AND(ISNUMBER(H40),ISNUMBER(J38)),IF(H40&gt;J38,3,IF(H40=J38,1,0)),0)</f>
        <v>0</v>
      </c>
      <c r="P40" s="110">
        <f>IF(AND(ISNUMBER(I40),ISNUMBER(J39)),IF(I40&gt;J39,3,IF(I40=J39,1,0)),0)</f>
        <v>3</v>
      </c>
      <c r="Q40" s="138"/>
      <c r="R40" s="139">
        <f>IF(AND(ISNUMBER(K40),ISNUMBER(J41)),IF(K40&gt;J41,3,IF(K40=J41,1,0)),0)</f>
        <v>0</v>
      </c>
      <c r="S40" s="111"/>
      <c r="U40" s="110">
        <v>3</v>
      </c>
      <c r="V40" s="140" t="str">
        <f>testo!B29</f>
        <v>CTR</v>
      </c>
      <c r="W40" s="110">
        <f>IF(COUNT(H40:K40)=COUNT(J38:J41),COUNT(J38:J41),"")</f>
        <v>3</v>
      </c>
      <c r="X40" s="110">
        <f>SUM(O40:R40)</f>
        <v>3</v>
      </c>
      <c r="Y40" s="110">
        <f>SUM(H40:K40)</f>
        <v>8</v>
      </c>
      <c r="Z40" s="110">
        <f>SUM(J38:J41)</f>
        <v>22</v>
      </c>
      <c r="AA40" s="139">
        <f>Y40-Z40</f>
        <v>-14</v>
      </c>
      <c r="AB40" s="111"/>
      <c r="AD40" s="153">
        <f>BB40</f>
        <v>3</v>
      </c>
      <c r="AE40" s="111"/>
      <c r="AG40" s="154">
        <f>X40*10000+AA40*100+Y40</f>
        <v>28608</v>
      </c>
      <c r="AH40" s="139">
        <f>COUNTIF(AG38:AG41,AG40)</f>
        <v>1</v>
      </c>
      <c r="AI40" s="139" t="str">
        <f>IF(AH40=1,"x","")</f>
        <v>x</v>
      </c>
      <c r="AJ40" s="111"/>
      <c r="AK40" s="112"/>
      <c r="AL40" s="155">
        <f>IF(AI40="x",3,IF(AG41=AG40,4,IF(AG39=AG40,2,1)))</f>
        <v>3</v>
      </c>
      <c r="AM40" s="139">
        <f>INDEX(O40:R40,1,AL40)</f>
        <v>0</v>
      </c>
      <c r="AN40" s="156">
        <f>IF(OR(AH42=2,AH42=4),AM40/10,0)</f>
        <v>0</v>
      </c>
      <c r="AO40" s="111"/>
      <c r="AP40" s="112"/>
      <c r="AQ40" s="112"/>
      <c r="AR40" s="157">
        <f>X40-INDEX(O40:R40,1,AQ37)</f>
        <v>3</v>
      </c>
      <c r="AS40" s="154">
        <f>AA40-(INDEX(H40:K40,1,AQ37)-INDEX(J38:J41,AQ37))</f>
        <v>-2</v>
      </c>
      <c r="AT40" s="110">
        <f>Y40-INDEX(H40:K40,1,AQ37)</f>
        <v>7</v>
      </c>
      <c r="AU40" s="158">
        <f>IF(OR(AH42&lt;&gt;3,AI40="x"),0,AR40/10+AS40/1000+AT40/100000)</f>
        <v>0</v>
      </c>
      <c r="AV40" s="111"/>
      <c r="AW40" s="112"/>
      <c r="AX40" s="159">
        <f>AG40+AN40+AU40</f>
        <v>28608</v>
      </c>
      <c r="AY40" s="113">
        <f>IF(INDEX(AX38:AX41,U40)&gt;=INDEX(AX38:AX41,U41),U40,U41)</f>
        <v>4</v>
      </c>
      <c r="AZ40" s="110">
        <f>IF(INDEX(AX38:AX41,AY40)&lt;=INDEX(AX38:AX41,AY38),AY40,AY38)</f>
        <v>4</v>
      </c>
      <c r="BA40" s="139">
        <f>IF(INDEX(AX38:AX41,AZ40)&lt;=INDEX(AX38:AX41,AZ39),AZ40,AZ39)</f>
        <v>3</v>
      </c>
      <c r="BB40" s="160">
        <f>MATCH(U40,BA38:BA41,0)</f>
        <v>3</v>
      </c>
      <c r="BC40" s="110">
        <f>COUNTIF(AX38:AX41,AX40)</f>
        <v>1</v>
      </c>
      <c r="BD40" s="139" t="str">
        <f>IF(BC40=1,"x","")</f>
        <v>x</v>
      </c>
      <c r="BE40" s="139">
        <f>(BD40="x")*BB40</f>
        <v>3</v>
      </c>
      <c r="BZ40" s="113"/>
      <c r="CA40" s="113"/>
      <c r="CK40" s="113"/>
      <c r="CL40" s="113"/>
      <c r="CO40" s="113"/>
      <c r="CP40" s="113"/>
      <c r="CQ40" s="113"/>
      <c r="CR40" s="113"/>
      <c r="CS40" s="113"/>
      <c r="CW40" s="113"/>
      <c r="CX40" s="113"/>
      <c r="CY40" s="113"/>
      <c r="CZ40" s="113"/>
      <c r="DA40" s="113"/>
      <c r="DB40" s="113"/>
      <c r="DC40" s="113"/>
    </row>
    <row r="41" spans="1:107" ht="10.5">
      <c r="A41" s="122" t="str">
        <f>GIRONE!D25</f>
        <v>TRIAL</v>
      </c>
      <c r="B41" s="123">
        <f>IF(ISNUMBER(GIRONE!E25),GIRONE!E25,"")</f>
        <v>9</v>
      </c>
      <c r="C41" s="123">
        <f>IF(ISNUMBER(GIRONE!G25),GIRONE!G25,"")</f>
        <v>3</v>
      </c>
      <c r="D41" s="124" t="str">
        <f>GIRONE!H25</f>
        <v>CAFFE FARINI</v>
      </c>
      <c r="E41" s="161"/>
      <c r="F41" s="113"/>
      <c r="G41" s="152" t="str">
        <f>testo!A30</f>
        <v>CAF</v>
      </c>
      <c r="H41" s="162">
        <f>C41</f>
        <v>3</v>
      </c>
      <c r="I41" s="162">
        <f>C39</f>
        <v>7</v>
      </c>
      <c r="J41" s="162">
        <f>C38</f>
        <v>9</v>
      </c>
      <c r="K41" s="163"/>
      <c r="L41" s="161"/>
      <c r="M41" s="113"/>
      <c r="N41" s="152" t="str">
        <f>testo!A30</f>
        <v>CAF</v>
      </c>
      <c r="O41" s="164">
        <f>IF(AND(ISNUMBER(H41),ISNUMBER(K38)),IF(H41&gt;K38,3,IF(H41=K38,1,0)),0)</f>
        <v>0</v>
      </c>
      <c r="P41" s="164">
        <f>IF(AND(ISNUMBER(I41),ISNUMBER(K39)),IF(I41&gt;K39,3,IF(I41=K39,1,0)),0)</f>
        <v>3</v>
      </c>
      <c r="Q41" s="164">
        <f>IF(AND(ISNUMBER(J41),ISNUMBER(K40)),IF(J41&gt;K40,3,IF(J41=K40,1,0)),0)</f>
        <v>3</v>
      </c>
      <c r="R41" s="165"/>
      <c r="S41" s="161"/>
      <c r="T41" s="113"/>
      <c r="U41" s="110">
        <v>4</v>
      </c>
      <c r="V41" s="140" t="str">
        <f>testo!B30</f>
        <v>CAFFE FARINI</v>
      </c>
      <c r="W41" s="164">
        <f>IF(COUNT(H41:K41)=COUNT(K38:K41),COUNT(K38:K41),"")</f>
        <v>3</v>
      </c>
      <c r="X41" s="164">
        <f>SUM(O41:R41)</f>
        <v>6</v>
      </c>
      <c r="Y41" s="164">
        <f>SUM(H41:K41)</f>
        <v>19</v>
      </c>
      <c r="Z41" s="164">
        <f>SUM(K38:K41)</f>
        <v>12</v>
      </c>
      <c r="AA41" s="166">
        <f>Y41-Z41</f>
        <v>7</v>
      </c>
      <c r="AB41" s="167"/>
      <c r="AC41" s="113"/>
      <c r="AD41" s="168">
        <f>BB41</f>
        <v>2</v>
      </c>
      <c r="AE41" s="161"/>
      <c r="AF41" s="113"/>
      <c r="AG41" s="169">
        <f>X41*10000+AA41*100+Y41</f>
        <v>60719</v>
      </c>
      <c r="AH41" s="166">
        <f>COUNTIF(AG38:AG41,AG41)</f>
        <v>1</v>
      </c>
      <c r="AI41" s="166" t="str">
        <f>IF(AH41=1,"x","")</f>
        <v>x</v>
      </c>
      <c r="AJ41" s="167"/>
      <c r="AL41" s="170">
        <f>IF(AI41="x",4,IF(AG38=AG41,1,IF(AG39=AG41,2,3)))</f>
        <v>4</v>
      </c>
      <c r="AM41" s="166">
        <f>INDEX(O41:R41,1,AL41)</f>
        <v>0</v>
      </c>
      <c r="AN41" s="171">
        <f>IF(OR(AH42=2,AH42=4),AM41/10,0)</f>
        <v>0</v>
      </c>
      <c r="AO41" s="167"/>
      <c r="AR41" s="172">
        <f>X41-INDEX(O41:R41,1,AQ37)</f>
        <v>6</v>
      </c>
      <c r="AS41" s="169">
        <f>AA41-(INDEX(H41:K41,1,AQ37)-INDEX(K38:K41,AQ37))</f>
        <v>13</v>
      </c>
      <c r="AT41" s="164">
        <f>Y41-INDEX(H41:K41,1,AQ37)</f>
        <v>16</v>
      </c>
      <c r="AU41" s="173">
        <f>IF(OR(AH42&lt;&gt;3,AI41="x"),0,AR41/10+AS41/1000+AT41/100000)</f>
        <v>0</v>
      </c>
      <c r="AV41" s="167"/>
      <c r="AX41" s="174">
        <f>AG41+AN41+AU41</f>
        <v>60719</v>
      </c>
      <c r="AY41" s="162">
        <f>IF(INDEX(AX38:AX41,U41)&lt;=INDEX(AX38:AX41,U40),U41,U40)</f>
        <v>3</v>
      </c>
      <c r="AZ41" s="164">
        <f>IF(INDEX(AX38:AX41,AY41)&lt;=INDEX(AX38:AX41,AY39),AY41,AY39)</f>
        <v>2</v>
      </c>
      <c r="BA41" s="166">
        <f>IF(INDEX(AX38:AX41,AZ41)&lt;=INDEX(AX38:AX41,AZ38),AZ41,AZ38)</f>
        <v>2</v>
      </c>
      <c r="BB41" s="175">
        <f>MATCH(U41,BA38:BA41,0)</f>
        <v>2</v>
      </c>
      <c r="BC41" s="164">
        <f>COUNTIF(AX38:AX41,AX41)</f>
        <v>1</v>
      </c>
      <c r="BD41" s="166" t="str">
        <f>IF(BC41=1,"x","")</f>
        <v>x</v>
      </c>
      <c r="BE41" s="139">
        <f>(BD41="x")*BB41</f>
        <v>2</v>
      </c>
      <c r="BZ41" s="113"/>
      <c r="CA41" s="113"/>
      <c r="CK41" s="113"/>
      <c r="CL41" s="113"/>
      <c r="CO41" s="113"/>
      <c r="CP41" s="113"/>
      <c r="CQ41" s="113"/>
      <c r="CR41" s="113"/>
      <c r="CS41" s="113"/>
      <c r="CW41" s="113"/>
      <c r="CX41" s="113"/>
      <c r="CY41" s="113"/>
      <c r="CZ41" s="113"/>
      <c r="DA41" s="113"/>
      <c r="DB41" s="113"/>
      <c r="DC41" s="113"/>
    </row>
    <row r="42" spans="1:107" ht="10.5">
      <c r="A42" s="122" t="str">
        <f>GIRONE!D26</f>
        <v>CARROZZERIA FORLIVESE</v>
      </c>
      <c r="B42" s="123">
        <f>IF(ISNUMBER(GIRONE!E26),GIRONE!E26,"")</f>
        <v>0</v>
      </c>
      <c r="C42" s="123">
        <f>IF(ISNUMBER(GIRONE!G26),GIRONE!G26,"")</f>
        <v>4</v>
      </c>
      <c r="D42" s="124" t="str">
        <f>GIRONE!H26</f>
        <v>CTR</v>
      </c>
      <c r="E42" s="111"/>
      <c r="L42" s="111"/>
      <c r="S42" s="111"/>
      <c r="V42" s="176" t="s">
        <v>41</v>
      </c>
      <c r="W42" s="110" t="b">
        <f>SUM(W38:W41)=12</f>
        <v>1</v>
      </c>
      <c r="AB42" s="111"/>
      <c r="AD42" s="168" t="str">
        <f>BF42</f>
        <v>Classifica pulita</v>
      </c>
      <c r="AE42" s="111"/>
      <c r="AG42" s="177" t="s">
        <v>42</v>
      </c>
      <c r="AH42" s="166">
        <f>MOD(MIN(AH38:AH41)*MAX(AH38:AH41),11)</f>
        <v>1</v>
      </c>
      <c r="AJ42" s="111"/>
      <c r="AK42" s="112"/>
      <c r="AL42" s="112"/>
      <c r="AN42" s="113"/>
      <c r="AO42" s="111"/>
      <c r="AP42" s="112"/>
      <c r="AQ42" s="112"/>
      <c r="AR42" s="113"/>
      <c r="AS42" s="113"/>
      <c r="AV42" s="111"/>
      <c r="AW42" s="112"/>
      <c r="AX42" s="113"/>
      <c r="AY42" s="113"/>
      <c r="BD42" s="178">
        <f>COUNTIF(BD38:BD41,"x")</f>
        <v>4</v>
      </c>
      <c r="BE42" s="179">
        <f>SUM(BE38:BE41)</f>
        <v>10</v>
      </c>
      <c r="BF42" s="179" t="str">
        <f>IF(W42,IF(BD42&gt;=3,testo!B$71,IF(AND(BD42=2,BE42=3),testo!B$72,testo!B$73)),"")</f>
        <v>Classifica pulita</v>
      </c>
      <c r="BZ42" s="113"/>
      <c r="CA42" s="113"/>
      <c r="CK42" s="113"/>
      <c r="CL42" s="113"/>
      <c r="CO42" s="113"/>
      <c r="CP42" s="113"/>
      <c r="CQ42" s="113"/>
      <c r="CR42" s="113"/>
      <c r="CS42" s="113"/>
      <c r="CW42" s="113"/>
      <c r="CX42" s="113"/>
      <c r="CY42" s="113"/>
      <c r="CZ42" s="113"/>
      <c r="DA42" s="113"/>
      <c r="DB42" s="113"/>
      <c r="DC42" s="113"/>
    </row>
  </sheetData>
  <sheetProtection/>
  <mergeCells count="22">
    <mergeCell ref="AR36:AT36"/>
    <mergeCell ref="AY36:BA36"/>
    <mergeCell ref="BC36:BE36"/>
    <mergeCell ref="AR14:AT14"/>
    <mergeCell ref="AY14:BA14"/>
    <mergeCell ref="BC14:BE14"/>
    <mergeCell ref="AR25:AT25"/>
    <mergeCell ref="AY25:BA25"/>
    <mergeCell ref="BC25:BE25"/>
    <mergeCell ref="BC3:BE3"/>
    <mergeCell ref="AR4:AT4"/>
    <mergeCell ref="AY4:BA4"/>
    <mergeCell ref="BC4:BE4"/>
    <mergeCell ref="AR11:AT11"/>
    <mergeCell ref="AY11:BA11"/>
    <mergeCell ref="BC11:BE11"/>
    <mergeCell ref="A1:D1"/>
    <mergeCell ref="G1:K1"/>
    <mergeCell ref="N1:R1"/>
    <mergeCell ref="AH3:AI3"/>
    <mergeCell ref="AR3:AT3"/>
    <mergeCell ref="AY3:BA3"/>
  </mergeCells>
  <conditionalFormatting sqref="BF10:BG10 BF20:BG20 BF31:BG31 BF42:BG42">
    <cfRule type="expression" priority="1" dxfId="0" stopIfTrue="1">
      <formula>OR(#REF!=1,#REF!=4)</formula>
    </cfRule>
  </conditionalFormatting>
  <printOptions/>
  <pageMargins left="0.79" right="0.79" top="0.98" bottom="0.9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2">
      <selection activeCell="B30" sqref="B30"/>
    </sheetView>
  </sheetViews>
  <sheetFormatPr defaultColWidth="11.421875" defaultRowHeight="12.75"/>
  <cols>
    <col min="1" max="1" width="11.421875" style="180" customWidth="1"/>
    <col min="2" max="2" width="47.421875" style="181" customWidth="1"/>
    <col min="3" max="3" width="4.00390625" style="181" customWidth="1"/>
    <col min="4" max="16384" width="11.421875" style="181" customWidth="1"/>
  </cols>
  <sheetData>
    <row r="1" spans="1:2" ht="10.5">
      <c r="A1" s="180" t="s">
        <v>43</v>
      </c>
      <c r="B1" s="181" t="s">
        <v>44</v>
      </c>
    </row>
    <row r="2" spans="1:2" ht="10.5">
      <c r="A2" s="182" t="s">
        <v>16</v>
      </c>
      <c r="B2" s="183" t="s">
        <v>45</v>
      </c>
    </row>
    <row r="3" spans="1:2" ht="10.5">
      <c r="A3" s="182" t="s">
        <v>100</v>
      </c>
      <c r="B3" s="183" t="s">
        <v>99</v>
      </c>
    </row>
    <row r="4" spans="1:2" ht="10.5">
      <c r="A4" s="182" t="s">
        <v>98</v>
      </c>
      <c r="B4" s="183" t="s">
        <v>120</v>
      </c>
    </row>
    <row r="5" spans="1:2" ht="10.5">
      <c r="A5" s="182" t="s">
        <v>53</v>
      </c>
      <c r="B5" s="183" t="s">
        <v>54</v>
      </c>
    </row>
    <row r="6" spans="1:2" ht="10.5">
      <c r="A6" s="182" t="s">
        <v>47</v>
      </c>
      <c r="B6" s="183" t="s">
        <v>101</v>
      </c>
    </row>
    <row r="7" spans="1:2" ht="10.5">
      <c r="A7" s="182"/>
      <c r="B7" s="183"/>
    </row>
    <row r="8" spans="1:2" ht="10.5">
      <c r="A8" s="182"/>
      <c r="B8" s="183"/>
    </row>
    <row r="9" spans="1:2" ht="10.5">
      <c r="A9" s="182"/>
      <c r="B9" s="183"/>
    </row>
    <row r="10" spans="1:2" ht="10.5">
      <c r="A10" s="182" t="s">
        <v>14</v>
      </c>
      <c r="B10" s="183" t="s">
        <v>46</v>
      </c>
    </row>
    <row r="11" spans="1:2" ht="10.5">
      <c r="A11" s="182" t="s">
        <v>102</v>
      </c>
      <c r="B11" s="183" t="s">
        <v>103</v>
      </c>
    </row>
    <row r="12" spans="1:2" ht="10.5">
      <c r="A12" s="182" t="s">
        <v>49</v>
      </c>
      <c r="B12" s="183" t="s">
        <v>104</v>
      </c>
    </row>
    <row r="13" spans="1:2" ht="10.5">
      <c r="A13" s="182" t="s">
        <v>105</v>
      </c>
      <c r="B13" s="183" t="s">
        <v>106</v>
      </c>
    </row>
    <row r="14" spans="1:2" ht="10.5">
      <c r="A14" s="182" t="s">
        <v>107</v>
      </c>
      <c r="B14" s="183" t="s">
        <v>108</v>
      </c>
    </row>
    <row r="15" spans="1:2" ht="10.5">
      <c r="A15" s="182"/>
      <c r="B15" s="183"/>
    </row>
    <row r="16" spans="1:2" ht="10.5">
      <c r="A16" s="182"/>
      <c r="B16" s="183"/>
    </row>
    <row r="17" spans="1:2" ht="10.5">
      <c r="A17" s="182"/>
      <c r="B17" s="183"/>
    </row>
    <row r="18" spans="1:2" ht="10.5">
      <c r="A18" s="182" t="s">
        <v>12</v>
      </c>
      <c r="B18" s="183" t="s">
        <v>48</v>
      </c>
    </row>
    <row r="19" spans="1:2" ht="10.5">
      <c r="A19" s="182" t="s">
        <v>50</v>
      </c>
      <c r="B19" s="183" t="s">
        <v>51</v>
      </c>
    </row>
    <row r="20" spans="1:2" ht="10.5">
      <c r="A20" s="182" t="s">
        <v>109</v>
      </c>
      <c r="B20" s="183" t="s">
        <v>110</v>
      </c>
    </row>
    <row r="21" spans="1:2" ht="10.5">
      <c r="A21" s="182" t="s">
        <v>111</v>
      </c>
      <c r="B21" s="183" t="s">
        <v>112</v>
      </c>
    </row>
    <row r="22" spans="1:2" ht="10.5">
      <c r="A22" s="182" t="s">
        <v>113</v>
      </c>
      <c r="B22" s="183" t="s">
        <v>114</v>
      </c>
    </row>
    <row r="23" spans="1:2" ht="10.5">
      <c r="A23" s="182"/>
      <c r="B23" s="183"/>
    </row>
    <row r="24" spans="1:2" ht="10.5">
      <c r="A24" s="182"/>
      <c r="B24" s="183"/>
    </row>
    <row r="25" spans="1:2" ht="10.5">
      <c r="A25" s="182"/>
      <c r="B25" s="183"/>
    </row>
    <row r="26" spans="1:2" ht="10.5">
      <c r="A26" s="182" t="s">
        <v>15</v>
      </c>
      <c r="B26" s="183" t="s">
        <v>52</v>
      </c>
    </row>
    <row r="27" spans="1:2" ht="10.5">
      <c r="A27" s="182" t="s">
        <v>55</v>
      </c>
      <c r="B27" s="183" t="s">
        <v>56</v>
      </c>
    </row>
    <row r="28" spans="1:2" ht="10.5">
      <c r="A28" s="182" t="s">
        <v>115</v>
      </c>
      <c r="B28" s="183" t="s">
        <v>116</v>
      </c>
    </row>
    <row r="29" spans="1:2" ht="10.5">
      <c r="A29" s="182" t="s">
        <v>117</v>
      </c>
      <c r="B29" s="183" t="s">
        <v>117</v>
      </c>
    </row>
    <row r="30" spans="1:2" ht="10.5">
      <c r="A30" s="182" t="s">
        <v>118</v>
      </c>
      <c r="B30" s="183" t="s">
        <v>119</v>
      </c>
    </row>
    <row r="31" spans="1:2" ht="10.5">
      <c r="A31" s="182"/>
      <c r="B31" s="183"/>
    </row>
    <row r="32" spans="1:2" ht="10.5">
      <c r="A32" s="182"/>
      <c r="B32" s="183"/>
    </row>
    <row r="33" spans="1:2" ht="10.5">
      <c r="A33" s="182"/>
      <c r="B33" s="183"/>
    </row>
    <row r="34" spans="1:2" ht="10.5">
      <c r="A34" s="182" t="s">
        <v>57</v>
      </c>
      <c r="B34" s="183" t="s">
        <v>58</v>
      </c>
    </row>
    <row r="35" spans="1:2" ht="10.5">
      <c r="A35" s="182" t="s">
        <v>59</v>
      </c>
      <c r="B35" s="183" t="s">
        <v>60</v>
      </c>
    </row>
    <row r="36" spans="1:2" ht="10.5">
      <c r="A36" s="182" t="s">
        <v>61</v>
      </c>
      <c r="B36" s="183" t="s">
        <v>62</v>
      </c>
    </row>
    <row r="37" spans="1:2" ht="10.5">
      <c r="A37" s="182" t="s">
        <v>63</v>
      </c>
      <c r="B37" s="183" t="s">
        <v>64</v>
      </c>
    </row>
    <row r="38" spans="1:2" ht="10.5">
      <c r="A38" s="182" t="s">
        <v>65</v>
      </c>
      <c r="B38" s="183" t="s">
        <v>66</v>
      </c>
    </row>
    <row r="39" spans="1:2" ht="10.5">
      <c r="A39" s="182"/>
      <c r="B39" s="183"/>
    </row>
    <row r="40" spans="1:2" ht="10.5">
      <c r="A40" s="182"/>
      <c r="B40" s="183"/>
    </row>
    <row r="41" spans="1:2" ht="10.5">
      <c r="A41" s="182"/>
      <c r="B41" s="183"/>
    </row>
    <row r="42" spans="1:2" ht="10.5">
      <c r="A42" s="182" t="s">
        <v>67</v>
      </c>
      <c r="B42" s="183" t="s">
        <v>68</v>
      </c>
    </row>
    <row r="43" spans="1:2" ht="10.5">
      <c r="A43" s="182" t="s">
        <v>69</v>
      </c>
      <c r="B43" s="183" t="s">
        <v>70</v>
      </c>
    </row>
    <row r="44" spans="1:2" ht="10.5">
      <c r="A44" s="182" t="s">
        <v>71</v>
      </c>
      <c r="B44" s="183" t="s">
        <v>72</v>
      </c>
    </row>
    <row r="45" spans="1:2" ht="10.5">
      <c r="A45" s="182" t="s">
        <v>73</v>
      </c>
      <c r="B45" s="183" t="s">
        <v>74</v>
      </c>
    </row>
    <row r="46" spans="1:2" ht="10.5">
      <c r="A46" s="182" t="s">
        <v>75</v>
      </c>
      <c r="B46" s="183" t="s">
        <v>76</v>
      </c>
    </row>
    <row r="47" spans="1:2" ht="10.5">
      <c r="A47" s="182"/>
      <c r="B47" s="183"/>
    </row>
    <row r="48" spans="1:2" ht="10.5">
      <c r="A48" s="182"/>
      <c r="B48" s="183"/>
    </row>
    <row r="49" spans="1:2" ht="10.5">
      <c r="A49" s="182"/>
      <c r="B49" s="183"/>
    </row>
    <row r="50" spans="1:2" ht="10.5">
      <c r="A50" s="182"/>
      <c r="B50" s="183"/>
    </row>
    <row r="51" spans="1:2" ht="10.5">
      <c r="A51" s="182"/>
      <c r="B51" s="183"/>
    </row>
    <row r="52" spans="1:2" ht="10.5">
      <c r="A52" s="182"/>
      <c r="B52" s="183"/>
    </row>
    <row r="53" spans="1:2" ht="10.5">
      <c r="A53" s="182"/>
      <c r="B53" s="183"/>
    </row>
    <row r="54" spans="1:2" ht="10.5">
      <c r="A54" s="182"/>
      <c r="B54" s="183"/>
    </row>
    <row r="55" spans="1:2" ht="10.5">
      <c r="A55" s="182"/>
      <c r="B55" s="183"/>
    </row>
    <row r="56" spans="1:2" ht="10.5">
      <c r="A56" s="182"/>
      <c r="B56" s="183"/>
    </row>
    <row r="57" spans="1:2" ht="10.5">
      <c r="A57" s="182"/>
      <c r="B57" s="183"/>
    </row>
    <row r="58" spans="1:2" ht="10.5">
      <c r="A58" s="182"/>
      <c r="B58" s="183"/>
    </row>
    <row r="59" spans="1:2" ht="10.5">
      <c r="A59" s="182"/>
      <c r="B59" s="183"/>
    </row>
    <row r="60" spans="1:2" ht="10.5">
      <c r="A60" s="182"/>
      <c r="B60" s="183"/>
    </row>
    <row r="61" spans="1:2" ht="10.5">
      <c r="A61" s="182"/>
      <c r="B61" s="183"/>
    </row>
    <row r="62" spans="1:2" ht="10.5">
      <c r="A62" s="182"/>
      <c r="B62" s="183"/>
    </row>
    <row r="63" spans="1:2" ht="10.5">
      <c r="A63" s="182"/>
      <c r="B63" s="183"/>
    </row>
    <row r="64" spans="1:2" ht="10.5">
      <c r="A64" s="182" t="s">
        <v>77</v>
      </c>
      <c r="B64" s="183" t="s">
        <v>0</v>
      </c>
    </row>
    <row r="65" spans="1:2" ht="10.5">
      <c r="A65" s="182" t="s">
        <v>78</v>
      </c>
      <c r="B65" s="183" t="s">
        <v>8</v>
      </c>
    </row>
    <row r="66" spans="1:2" ht="10.5">
      <c r="A66" s="182" t="s">
        <v>79</v>
      </c>
      <c r="B66" s="183" t="s">
        <v>28</v>
      </c>
    </row>
    <row r="67" spans="1:2" ht="10.5">
      <c r="A67" s="182" t="s">
        <v>80</v>
      </c>
      <c r="B67" s="183" t="s">
        <v>81</v>
      </c>
    </row>
    <row r="68" spans="1:2" ht="10.5">
      <c r="A68" s="182" t="s">
        <v>82</v>
      </c>
      <c r="B68" s="183" t="s">
        <v>27</v>
      </c>
    </row>
    <row r="69" spans="1:2" ht="10.5">
      <c r="A69" s="182" t="s">
        <v>21</v>
      </c>
      <c r="B69" s="183" t="s">
        <v>21</v>
      </c>
    </row>
    <row r="70" spans="1:2" ht="10.5">
      <c r="A70" s="182"/>
      <c r="B70" s="183"/>
    </row>
    <row r="71" spans="1:2" ht="10.5">
      <c r="A71" s="182"/>
      <c r="B71" s="183" t="s">
        <v>83</v>
      </c>
    </row>
    <row r="72" spans="1:2" ht="10.5">
      <c r="A72" s="182"/>
      <c r="B72" s="183" t="s">
        <v>84</v>
      </c>
    </row>
    <row r="73" spans="1:2" ht="10.5">
      <c r="A73" s="182"/>
      <c r="B73" s="183" t="s">
        <v>85</v>
      </c>
    </row>
    <row r="74" spans="1:2" ht="10.5">
      <c r="A74" s="182"/>
      <c r="B74" s="183"/>
    </row>
    <row r="75" spans="1:2" ht="10.5">
      <c r="A75" s="182"/>
      <c r="B75" s="183"/>
    </row>
    <row r="76" spans="1:2" ht="10.5">
      <c r="A76" s="182"/>
      <c r="B76" s="183" t="s">
        <v>86</v>
      </c>
    </row>
    <row r="77" spans="1:2" ht="10.5">
      <c r="A77" s="182"/>
      <c r="B77" s="183" t="s">
        <v>87</v>
      </c>
    </row>
    <row r="78" spans="1:2" ht="10.5">
      <c r="A78" s="182"/>
      <c r="B78" s="183" t="s">
        <v>88</v>
      </c>
    </row>
    <row r="79" spans="1:2" ht="10.5">
      <c r="A79" s="182"/>
      <c r="B79" s="183" t="s">
        <v>89</v>
      </c>
    </row>
    <row r="80" spans="1:2" ht="10.5">
      <c r="A80" s="182"/>
      <c r="B80" s="183" t="s">
        <v>90</v>
      </c>
    </row>
    <row r="81" spans="1:2" ht="10.5">
      <c r="A81" s="182"/>
      <c r="B81" s="183" t="s">
        <v>91</v>
      </c>
    </row>
    <row r="82" spans="1:2" ht="10.5">
      <c r="A82" s="182"/>
      <c r="B82" s="183" t="s">
        <v>92</v>
      </c>
    </row>
    <row r="83" spans="1:2" ht="10.5">
      <c r="A83" s="182"/>
      <c r="B83" s="183"/>
    </row>
    <row r="84" spans="1:2" ht="10.5">
      <c r="A84" s="182"/>
      <c r="B84" s="183" t="s">
        <v>93</v>
      </c>
    </row>
    <row r="85" spans="1:2" ht="10.5">
      <c r="A85" s="182"/>
      <c r="B85" s="183" t="s">
        <v>94</v>
      </c>
    </row>
    <row r="86" spans="1:2" ht="10.5">
      <c r="A86" s="182"/>
      <c r="B86" s="183" t="s">
        <v>95</v>
      </c>
    </row>
    <row r="87" spans="1:2" ht="10.5">
      <c r="A87" s="182"/>
      <c r="B87" s="183" t="s">
        <v>96</v>
      </c>
    </row>
    <row r="88" spans="1:2" ht="10.5">
      <c r="A88" s="182"/>
      <c r="B88" s="183" t="s">
        <v>97</v>
      </c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</dc:creator>
  <cp:keywords/>
  <dc:description/>
  <cp:lastModifiedBy>Gianni Medri</cp:lastModifiedBy>
  <cp:lastPrinted>2008-06-27T09:31:46Z</cp:lastPrinted>
  <dcterms:created xsi:type="dcterms:W3CDTF">2006-06-27T11:53:32Z</dcterms:created>
  <dcterms:modified xsi:type="dcterms:W3CDTF">2008-07-29T14:45:48Z</dcterms:modified>
  <cp:category/>
  <cp:version/>
  <cp:contentType/>
  <cp:contentStatus/>
</cp:coreProperties>
</file>